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XHsT7Qytn1/kqzGkjmAb73Z/NqMCoDRY9gVagQ3zgtMdT1YgNL34HahXjDhhl97xWXmurFGP8ta8fnPtiFi4pg==" workbookSaltValue="WVLB8It8zAAoDkvknQ/R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R8" i="9"/>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Q15" i="11" s="1"/>
  <c r="BJ10" i="11"/>
  <c r="BH11" i="11"/>
  <c r="S17" i="17"/>
  <c r="BH12" i="16"/>
  <c r="L12" i="2"/>
  <c r="X15" i="16"/>
  <c r="X18" i="16" s="1"/>
  <c r="T12" i="11"/>
  <c r="R17" i="14"/>
  <c r="S16" i="14"/>
  <c r="V16" i="14" s="1"/>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BE13" i="8"/>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<sst xmlns="http://schemas.openxmlformats.org/spreadsheetml/2006/main" count="2102" uniqueCount="918">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</sst>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2wt5aid7Ouvj9OLsh0f0z7vk2THa+wBIrv0qCzxngCqF6W3FEMMT8JJT/3WN+oCy+z5EkfJdKxZM+rNwkpytw==" saltValue="43xyi7nI5VQIBP31tp3m1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23</v>
      </c>
      <c r="F10" s="226">
        <f>IF(ISNUMBER(Datos!K10),Datos!K10," - ")</f>
        <v>13</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0.625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13.972314507198229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23</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640</v>
      </c>
      <c r="D16" s="225">
        <f>IF(ISNUMBER(IF(D_I="SI",Datos!I16,Datos!I16+Datos!AC16)),IF(D_I="SI",Datos!I16,Datos!I16+Datos!AC16)," - ")</f>
        <v>864</v>
      </c>
      <c r="E16" s="226">
        <f>IF(ISNUMBER(IF(D_I="SI",Datos!J16,Datos!J16+Datos!AD16)),IF(D_I="SI",Datos!J16,Datos!J16+Datos!AD16)," - ")</f>
        <v>3079</v>
      </c>
      <c r="F16" s="226">
        <f>IF(ISNUMBER(IF(D_I="SI",Datos!K16,Datos!K16+Datos!AE16)),IF(D_I="SI",Datos!K16,Datos!K16+Datos!AE16)," - ")</f>
        <v>2410</v>
      </c>
      <c r="G16" s="1034" t="str">
        <f>IF(Datos!E16&lt;&gt;"",Datos!E16,Datos!D16)</f>
        <v>04</v>
      </c>
      <c r="H16" s="227">
        <f>IF(ISNUMBER(IF(D_I="SI",Datos!L16,Datos!L16+Datos!AF16)),IF(D_I="SI",Datos!L16,Datos!L16+Datos!AF16)," - ")</f>
        <v>1309</v>
      </c>
      <c r="I16" s="1044" t="str">
        <f>IF(ISNUMBER(Datos!AS16/Datos!BM16),Datos!AS16/Datos!BM16," - ")</f>
        <v xml:space="preserve"> - </v>
      </c>
      <c r="J16" s="1045">
        <f>IF(ISNUMBER(Datos!BY16/Datos!CN16),Datos!BY16/Datos!CN16," - ")</f>
        <v>0</v>
      </c>
      <c r="K16" s="230">
        <f t="shared" si="3"/>
        <v>1.0453125000000001</v>
      </c>
      <c r="L16" s="1025">
        <f>IF(ISNUMBER(NºAsuntos!I16/NºAsuntos!G16),(NºAsuntos!I16/NºAsuntos!G16)*11," - ")</f>
        <v>5.9746887966804971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60</v>
      </c>
      <c r="E17" s="226">
        <f>IF(ISNUMBER(IF(D_I="SI",Datos!J17,Datos!J17+Datos!AD17)),IF(D_I="SI",Datos!J17,Datos!J17+Datos!AD17)," - ")</f>
        <v>302</v>
      </c>
      <c r="F17" s="226">
        <f>IF(ISNUMBER(IF(D_I="SI",Datos!K17,Datos!K17+Datos!AE17)),IF(D_I="SI",Datos!K17,Datos!K17+Datos!AE17)," - ")</f>
        <v>264</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0.6333333333333333</v>
      </c>
      <c r="L17" s="1025">
        <f>IF(ISNUMBER(NºAsuntos!I17/NºAsuntos!G17),(NºAsuntos!I17/NºAsuntos!G17)*11," - ")</f>
        <v>4.083333333333333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700</v>
      </c>
      <c r="D18" s="1049">
        <f>SUBTOTAL(9,D15:D17)</f>
        <v>924</v>
      </c>
      <c r="E18" s="1050">
        <f>SUBTOTAL(9,E15:E17)</f>
        <v>3381</v>
      </c>
      <c r="F18" s="1050">
        <f>SUBTOTAL(9,F15:F17)</f>
        <v>2674</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716</v>
      </c>
      <c r="D19" s="1071">
        <f>SUBTOTAL(9,D9:D18)</f>
        <v>940</v>
      </c>
      <c r="E19" s="1072">
        <f>SUBTOTAL(9,E9:E18)</f>
        <v>3404</v>
      </c>
      <c r="F19" s="1072">
        <f>SUBTOTAL(9,F9:F18)</f>
        <v>2687</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RcUn9YY9aoatlNzXqRINMkx2P0OtvQWbhp2doQOsEA/rKkavatfX8wrzrIRT6Y8kF34ba8v7sERNYGPU1qA4g==" saltValue="MYXPTDZlbPInil9jgYmk5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FJJC4TVUcvpupSDhu865bJu/9kEg7qYMuZLIRUMmvbd+SbqUuWJmWzLv0p44rQrjhWQo9DBgzmwCg/sTc9M2w==" saltValue="PQRvuHhMVytVqNKEo5qG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23</v>
      </c>
      <c r="K10" s="181">
        <v>13</v>
      </c>
      <c r="L10" s="181">
        <v>26</v>
      </c>
      <c r="M10" s="181">
        <v>5</v>
      </c>
      <c r="N10" s="181">
        <v>0</v>
      </c>
      <c r="O10" s="181">
        <v>0</v>
      </c>
      <c r="P10" s="181">
        <v>0</v>
      </c>
      <c r="Q10" s="181">
        <v>0</v>
      </c>
      <c r="R10" s="181">
        <v>0</v>
      </c>
      <c r="S10" s="181">
        <v>9</v>
      </c>
      <c r="T10" s="181">
        <v>7</v>
      </c>
      <c r="U10" s="181">
        <v>0</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7</v>
      </c>
      <c r="BA10" s="129">
        <f t="shared" si="0"/>
        <v>0</v>
      </c>
      <c r="BB10" s="129">
        <f t="shared" si="0"/>
        <v>16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1683</v>
      </c>
      <c r="J12" s="183">
        <v>2221</v>
      </c>
      <c r="K12" s="183">
        <v>1649</v>
      </c>
      <c r="L12" s="183">
        <v>2255</v>
      </c>
      <c r="M12" s="183">
        <v>422</v>
      </c>
      <c r="N12" s="183">
        <v>742</v>
      </c>
      <c r="O12" s="181">
        <v>603</v>
      </c>
      <c r="P12" s="183">
        <v>430</v>
      </c>
      <c r="Q12" s="183">
        <v>297</v>
      </c>
      <c r="R12" s="183">
        <v>1993</v>
      </c>
      <c r="S12" s="183">
        <v>1207</v>
      </c>
      <c r="T12" s="183">
        <v>2340</v>
      </c>
      <c r="U12" s="183">
        <v>1864</v>
      </c>
      <c r="V12" s="183">
        <v>1683</v>
      </c>
      <c r="W12" s="183">
        <v>348</v>
      </c>
      <c r="X12" s="189">
        <v>862</v>
      </c>
      <c r="Y12" s="191">
        <v>24</v>
      </c>
      <c r="Z12" s="181">
        <v>172</v>
      </c>
      <c r="AA12" s="181">
        <v>157</v>
      </c>
      <c r="AB12" s="181">
        <v>39</v>
      </c>
      <c r="AC12" s="183">
        <v>0</v>
      </c>
      <c r="AD12" s="183">
        <v>0</v>
      </c>
      <c r="AE12" s="183">
        <v>0</v>
      </c>
      <c r="AF12" s="189">
        <v>0</v>
      </c>
      <c r="AG12" s="202">
        <v>23</v>
      </c>
      <c r="AH12" s="183">
        <v>137</v>
      </c>
      <c r="AI12" s="183">
        <v>136</v>
      </c>
      <c r="AJ12" s="203">
        <v>24</v>
      </c>
      <c r="AK12" s="182">
        <v>0</v>
      </c>
      <c r="AL12" s="183">
        <v>0</v>
      </c>
      <c r="AM12" s="183">
        <v>0</v>
      </c>
      <c r="AN12" s="189">
        <v>0</v>
      </c>
      <c r="AO12" s="259">
        <v>3</v>
      </c>
      <c r="AP12" s="155">
        <v>3</v>
      </c>
      <c r="AQ12" s="155">
        <v>3</v>
      </c>
      <c r="AR12" s="154">
        <v>3</v>
      </c>
      <c r="AS12" s="340" t="s">
        <v>802</v>
      </c>
      <c r="AT12" s="203"/>
      <c r="AU12" s="202"/>
      <c r="AV12" s="203"/>
      <c r="AW12" s="202"/>
      <c r="AX12" s="203"/>
      <c r="AY12" s="126">
        <f t="shared" si="1"/>
        <v>1230</v>
      </c>
      <c r="AZ12" s="127">
        <f t="shared" si="1"/>
        <v>2477</v>
      </c>
      <c r="BA12" s="127">
        <f t="shared" si="1"/>
        <v>2000</v>
      </c>
      <c r="BB12" s="127">
        <f t="shared" si="1"/>
        <v>1707</v>
      </c>
      <c r="BC12" s="125">
        <f>IF(ISNUMBER(X12),X12," - ")</f>
        <v>862</v>
      </c>
      <c r="BD12" s="126">
        <f t="shared" si="2"/>
        <v>0.80742834073475978</v>
      </c>
      <c r="BE12" s="127">
        <f t="shared" si="3"/>
        <v>0.85350000000000004</v>
      </c>
      <c r="BF12" s="127">
        <f t="shared" si="4"/>
        <v>0.43099999999999999</v>
      </c>
      <c r="BG12" s="196">
        <f t="shared" si="5"/>
        <v>1.8534999999999999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1699</v>
      </c>
      <c r="J13" s="184">
        <f t="shared" si="6"/>
        <v>2244</v>
      </c>
      <c r="K13" s="184">
        <f t="shared" si="6"/>
        <v>1662</v>
      </c>
      <c r="L13" s="184">
        <f t="shared" si="6"/>
        <v>2281</v>
      </c>
      <c r="M13" s="184">
        <f t="shared" si="6"/>
        <v>427</v>
      </c>
      <c r="N13" s="184">
        <f t="shared" si="6"/>
        <v>742</v>
      </c>
      <c r="O13" s="184">
        <f t="shared" si="6"/>
        <v>603</v>
      </c>
      <c r="P13" s="184">
        <f t="shared" si="6"/>
        <v>430</v>
      </c>
      <c r="Q13" s="184">
        <f t="shared" si="6"/>
        <v>297</v>
      </c>
      <c r="R13" s="184">
        <f t="shared" si="6"/>
        <v>1993</v>
      </c>
      <c r="S13" s="184">
        <f t="shared" si="6"/>
        <v>1216</v>
      </c>
      <c r="T13" s="184">
        <f t="shared" si="6"/>
        <v>2347</v>
      </c>
      <c r="U13" s="184">
        <f t="shared" si="6"/>
        <v>1864</v>
      </c>
      <c r="V13" s="184">
        <f t="shared" si="6"/>
        <v>1699</v>
      </c>
      <c r="W13" s="184">
        <f t="shared" si="6"/>
        <v>348</v>
      </c>
      <c r="X13" s="184">
        <f t="shared" si="6"/>
        <v>862</v>
      </c>
      <c r="Y13" s="184">
        <f t="shared" si="6"/>
        <v>24</v>
      </c>
      <c r="Z13" s="184">
        <f t="shared" si="6"/>
        <v>172</v>
      </c>
      <c r="AA13" s="184">
        <f t="shared" si="6"/>
        <v>157</v>
      </c>
      <c r="AB13" s="184">
        <f t="shared" si="6"/>
        <v>39</v>
      </c>
      <c r="AC13" s="184">
        <f t="shared" si="6"/>
        <v>0</v>
      </c>
      <c r="AD13" s="184">
        <f t="shared" si="6"/>
        <v>0</v>
      </c>
      <c r="AE13" s="184">
        <f t="shared" si="6"/>
        <v>0</v>
      </c>
      <c r="AF13" s="184">
        <f>SUBTOTAL(9,AF9:AF12)</f>
        <v>0</v>
      </c>
      <c r="AG13" s="184">
        <f t="shared" ref="AG13:AT13" si="7">SUBTOTAL(9,AG8:AG12)</f>
        <v>23</v>
      </c>
      <c r="AH13" s="184">
        <f t="shared" si="7"/>
        <v>137</v>
      </c>
      <c r="AI13" s="184">
        <f t="shared" si="7"/>
        <v>136</v>
      </c>
      <c r="AJ13" s="184">
        <f t="shared" si="7"/>
        <v>24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1239</v>
      </c>
      <c r="AZ13" s="184">
        <f>SUBTOTAL(9,AZ8:AZ12)</f>
        <v>2484</v>
      </c>
      <c r="BA13" s="184">
        <f>SUBTOTAL(9,BA8:BA12)</f>
        <v>2000</v>
      </c>
      <c r="BB13" s="184">
        <f>SUBTOTAL(9,BB8:BB12)</f>
        <v>1723</v>
      </c>
      <c r="BC13" s="184">
        <f>SUBTOTAL(9,BC8:BC12)</f>
        <v>862</v>
      </c>
      <c r="BD13" s="205">
        <f>IF(ISNUMBER(BA13/AZ13),BA13/AZ13," - ")</f>
        <v>0.80515297906602257</v>
      </c>
      <c r="BE13" s="206">
        <f>IF(ISNUMBER(BB13/BA13),BB13/BA13, " - ")</f>
        <v>0.86150000000000004</v>
      </c>
      <c r="BF13" s="206">
        <f>IF(ISNUMBER(BC13/BA13),BC13/BA13, " - ")</f>
        <v>0.43099999999999999</v>
      </c>
      <c r="BG13" s="207">
        <f>IF(ISNUMBER((AY13+AZ13)/BA13),(AY13+AZ13)/BA13," - ")</f>
        <v>1.8614999999999999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864</v>
      </c>
      <c r="J16" s="183">
        <v>3079</v>
      </c>
      <c r="K16" s="183">
        <v>2410</v>
      </c>
      <c r="L16" s="183">
        <v>1309</v>
      </c>
      <c r="M16" s="183">
        <v>344</v>
      </c>
      <c r="N16" s="183">
        <v>1516</v>
      </c>
      <c r="O16" s="181">
        <v>12</v>
      </c>
      <c r="P16" s="183">
        <v>34</v>
      </c>
      <c r="Q16" s="183">
        <v>22</v>
      </c>
      <c r="R16" s="183">
        <v>99</v>
      </c>
      <c r="S16" s="183">
        <v>716</v>
      </c>
      <c r="T16" s="183">
        <v>3980</v>
      </c>
      <c r="U16" s="183">
        <v>3885</v>
      </c>
      <c r="V16" s="183">
        <v>864</v>
      </c>
      <c r="W16" s="183">
        <v>274</v>
      </c>
      <c r="X16" s="189">
        <v>3123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716</v>
      </c>
      <c r="AZ16" s="127">
        <f t="shared" si="9"/>
        <v>3980</v>
      </c>
      <c r="BA16" s="127">
        <f t="shared" si="9"/>
        <v>3885</v>
      </c>
      <c r="BB16" s="127">
        <f t="shared" si="9"/>
        <v>864</v>
      </c>
      <c r="BC16" s="125">
        <f>IF(ISNUMBER(W16),W16," - ")</f>
        <v>274</v>
      </c>
      <c r="BD16" s="126">
        <f t="shared" ref="BD16" si="11">IF(ISNUMBER(BA16/AZ16),BA16/AZ16," - ")</f>
        <v>0.97613065326633164</v>
      </c>
      <c r="BE16" s="127">
        <f t="shared" ref="BE16" si="12">IF(ISNUMBER(BB16/BA16),BB16/BA16, " - ")</f>
        <v>0.22239382239382238</v>
      </c>
      <c r="BF16" s="127">
        <f t="shared" ref="BF16" si="13">IF(ISNUMBER(BC16/BA16),BC16/BA16, " - ")</f>
        <v>7.0527670527670533E-2</v>
      </c>
      <c r="BG16" s="196">
        <f t="shared" si="10"/>
        <v>1.2087516087516088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302</v>
      </c>
      <c r="K17" s="183">
        <v>264</v>
      </c>
      <c r="L17" s="183">
        <v>98</v>
      </c>
      <c r="M17" s="183">
        <v>60</v>
      </c>
      <c r="N17" s="183">
        <v>138</v>
      </c>
      <c r="O17" s="183">
        <v>0</v>
      </c>
      <c r="P17" s="183">
        <v>0</v>
      </c>
      <c r="Q17" s="183">
        <v>0</v>
      </c>
      <c r="R17" s="183">
        <v>4</v>
      </c>
      <c r="S17" s="183">
        <v>44</v>
      </c>
      <c r="T17" s="183">
        <v>277</v>
      </c>
      <c r="U17" s="183">
        <v>279</v>
      </c>
      <c r="V17" s="183">
        <v>60</v>
      </c>
      <c r="W17" s="183">
        <v>12</v>
      </c>
      <c r="X17" s="189">
        <v>141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277</v>
      </c>
      <c r="BA17" s="129">
        <f t="shared" si="14"/>
        <v>279</v>
      </c>
      <c r="BB17" s="129">
        <f t="shared" si="14"/>
        <v>60</v>
      </c>
      <c r="BC17" s="125">
        <f>IF(ISNUMBER(W17),W17," - ")</f>
        <v>12</v>
      </c>
      <c r="BD17" s="126">
        <f>IF(ISNUMBER(BA17/AZ17),BA17/AZ17," - ")</f>
        <v>1.0072202166064983</v>
      </c>
      <c r="BE17" s="127">
        <f>IF(ISNUMBER(BB17/BA17),BB17/BA17, " - ")</f>
        <v>0.21505376344086022</v>
      </c>
      <c r="BF17" s="127">
        <f>IF(ISNUMBER(BC17/BA17),BC17/BA17, " - ")</f>
        <v>4.3010752688172046E-2</v>
      </c>
      <c r="BG17" s="196">
        <f>IF(ISNUMBER((AY17+AZ17)/BA17),(AY17+AZ17)/BA17," - ")</f>
        <v>1.1505376344086022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924</v>
      </c>
      <c r="J18" s="184">
        <f t="shared" si="15"/>
        <v>3381</v>
      </c>
      <c r="K18" s="184">
        <f t="shared" si="15"/>
        <v>2674</v>
      </c>
      <c r="L18" s="184">
        <f t="shared" si="15"/>
        <v>1407</v>
      </c>
      <c r="M18" s="184">
        <f t="shared" si="15"/>
        <v>404</v>
      </c>
      <c r="N18" s="184">
        <f t="shared" si="15"/>
        <v>1654</v>
      </c>
      <c r="O18" s="184">
        <f t="shared" si="15"/>
        <v>12</v>
      </c>
      <c r="P18" s="184">
        <f t="shared" si="15"/>
        <v>34</v>
      </c>
      <c r="Q18" s="184">
        <f t="shared" si="15"/>
        <v>22</v>
      </c>
      <c r="R18" s="184">
        <f t="shared" si="15"/>
        <v>103</v>
      </c>
      <c r="S18" s="184">
        <f t="shared" si="15"/>
        <v>760</v>
      </c>
      <c r="T18" s="184">
        <f t="shared" si="15"/>
        <v>4257</v>
      </c>
      <c r="U18" s="184">
        <f t="shared" si="15"/>
        <v>4164</v>
      </c>
      <c r="V18" s="184">
        <f t="shared" si="15"/>
        <v>924</v>
      </c>
      <c r="W18" s="184">
        <f t="shared" si="15"/>
        <v>286</v>
      </c>
      <c r="X18" s="184">
        <f t="shared" si="15"/>
        <v>3264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760</v>
      </c>
      <c r="AZ18" s="184">
        <f>SUBTOTAL(9,AZ14:AZ17)</f>
        <v>4257</v>
      </c>
      <c r="BA18" s="184">
        <f>SUBTOTAL(9,BA14:BA17)</f>
        <v>4164</v>
      </c>
      <c r="BB18" s="184">
        <f>SUBTOTAL(9,BB14:BB17)</f>
        <v>924</v>
      </c>
      <c r="BC18" s="184">
        <f>SUBTOTAL(9,BC14:BC17)</f>
        <v>286</v>
      </c>
      <c r="BD18" s="205">
        <f>IF(ISNUMBER(BA18/AZ18),BA18/AZ18," - ")</f>
        <v>0.97815362931642003</v>
      </c>
      <c r="BE18" s="206">
        <f>IF(ISNUMBER(BB18/BA18),BB18/BA18, " - ")</f>
        <v>0.22190201729106629</v>
      </c>
      <c r="BF18" s="206">
        <f>IF(ISNUMBER(BC18/BA18),BC18/BA18, " - ")</f>
        <v>6.8683957732949094E-2</v>
      </c>
      <c r="BG18" s="207">
        <f>IF(ISNUMBER((AY18+AZ18)/BA18),(AY18+AZ18)/BA18," - ")</f>
        <v>1.2048511047070125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2623</v>
      </c>
      <c r="J19" s="134">
        <f t="shared" si="18"/>
        <v>5625</v>
      </c>
      <c r="K19" s="134">
        <f t="shared" si="18"/>
        <v>4336</v>
      </c>
      <c r="L19" s="134">
        <f t="shared" si="18"/>
        <v>3688</v>
      </c>
      <c r="M19" s="134">
        <f t="shared" si="18"/>
        <v>831</v>
      </c>
      <c r="N19" s="134">
        <f t="shared" si="18"/>
        <v>2396</v>
      </c>
      <c r="O19" s="134">
        <f t="shared" si="18"/>
        <v>615</v>
      </c>
      <c r="P19" s="134">
        <f t="shared" si="18"/>
        <v>464</v>
      </c>
      <c r="Q19" s="134">
        <f t="shared" si="18"/>
        <v>319</v>
      </c>
      <c r="R19" s="134">
        <f t="shared" si="18"/>
        <v>2096</v>
      </c>
      <c r="S19" s="134">
        <f t="shared" si="18"/>
        <v>1976</v>
      </c>
      <c r="T19" s="134">
        <f t="shared" si="18"/>
        <v>6604</v>
      </c>
      <c r="U19" s="134">
        <f t="shared" si="18"/>
        <v>6028</v>
      </c>
      <c r="V19" s="134">
        <f t="shared" si="18"/>
        <v>2623</v>
      </c>
      <c r="W19" s="134">
        <f t="shared" si="18"/>
        <v>634</v>
      </c>
      <c r="X19" s="134">
        <f t="shared" si="18"/>
        <v>4126</v>
      </c>
      <c r="Y19" s="134">
        <f t="shared" si="18"/>
        <v>24</v>
      </c>
      <c r="Z19" s="134">
        <f t="shared" si="18"/>
        <v>172</v>
      </c>
      <c r="AA19" s="134">
        <f t="shared" si="18"/>
        <v>157</v>
      </c>
      <c r="AB19" s="134">
        <f t="shared" si="18"/>
        <v>39</v>
      </c>
      <c r="AC19" s="134">
        <f t="shared" si="18"/>
        <v>0</v>
      </c>
      <c r="AD19" s="134">
        <f t="shared" si="18"/>
        <v>0</v>
      </c>
      <c r="AE19" s="134">
        <f t="shared" si="18"/>
        <v>0</v>
      </c>
      <c r="AF19" s="134">
        <f t="shared" si="18"/>
        <v>0</v>
      </c>
      <c r="AG19" s="134">
        <f t="shared" si="18"/>
        <v>23</v>
      </c>
      <c r="AH19" s="134">
        <f t="shared" si="18"/>
        <v>137</v>
      </c>
      <c r="AI19" s="134">
        <f t="shared" si="18"/>
        <v>136</v>
      </c>
      <c r="AJ19" s="134">
        <f t="shared" si="18"/>
        <v>24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1999</v>
      </c>
      <c r="AZ19" s="134">
        <f>SUBTOTAL(9,AZ9:AZ18)</f>
        <v>6741</v>
      </c>
      <c r="BA19" s="134">
        <f>SUBTOTAL(9,BA9:BA18)</f>
        <v>6164</v>
      </c>
      <c r="BB19" s="134">
        <f>SUBTOTAL(9,BB9:BB18)</f>
        <v>2647</v>
      </c>
      <c r="BC19" s="135">
        <f>SUBTOTAL(9,BC9:BC18)</f>
        <v>1148</v>
      </c>
      <c r="BD19" s="213">
        <f>IF(ISNUMBER(BA19/AZ19),BA19/AZ19," - ")</f>
        <v>0.91440439103990501</v>
      </c>
      <c r="BE19" s="210">
        <f>IF(ISNUMBER(BB19/BA19),BB19/BA19, " - ")</f>
        <v>0.42942894224529526</v>
      </c>
      <c r="BF19" s="210">
        <f>IF(ISNUMBER(BC19/BA19),BC19/BA19, " - ")</f>
        <v>0.18624269954574951</v>
      </c>
      <c r="BG19" s="135">
        <f>IF(ISNUMBER((AY19+AZ19)/BA19),(AY19+AZ19)/BA19," - ")</f>
        <v>1.4179104477611941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fG49GyvL0QPn7P/uk9Kr2jQQHknWPI1pz4uezjOFuCPIE7cREH/gI4mZ6GlZjR9QmEI0NpGUzh9/ms+n1+gkw==" saltValue="Q1LC1QmW+HVsFKuD/K7l5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IlxEbjfnXtHbdFW+327xKp9Zv9OW8rlOEirtS6jgbruRJvrLed5X7BGP+rUqL0Vjk4KkIJMshJPxwaJc8C17g==" saltValue="JRj7VqCApZUc/G8uR4LDM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0</v>
      </c>
      <c r="AD10" s="334"/>
      <c r="AE10" s="484"/>
      <c r="AF10" s="332">
        <f>IF(ISNUMBER(Datos!L10),Datos!L10,"-")</f>
        <v>26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0.56521739130434778</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172</v>
      </c>
      <c r="O12" s="334"/>
      <c r="P12" s="334"/>
      <c r="Q12" s="226">
        <f>IF(ISNUMBER(Datos!P12),Datos!P12,0)</f>
        <v>430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1993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422</v>
      </c>
      <c r="BD12" s="229">
        <f>IF(ISNUMBER(Datos!N12),Datos!N12," - ")</f>
        <v>742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0.75470121186794814</v>
      </c>
      <c r="BH12" s="260">
        <f>IF(ISNUMBER(((IF(J_V="SI",Datos!L12/Datos!K12,(Datos!L12+Datos!AB12)/(Datos!K12+Datos!AA12)))*11)/factor_trimestre),((IF(J_V="SI",Datos!L12/Datos!K12,(Datos!L12+Datos!AB12)/(Datos!K12+Datos!AA12)))*11)/factor_trimestre," - ")</f>
        <v>13.972314507198229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7.1505376344086019E-2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172</v>
      </c>
      <c r="O13" s="900">
        <f t="shared" si="0"/>
        <v>0</v>
      </c>
      <c r="P13" s="900">
        <f t="shared" si="0"/>
        <v>0</v>
      </c>
      <c r="Q13" s="899">
        <f t="shared" si="0"/>
        <v>430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297</v>
      </c>
      <c r="AD13" s="899">
        <f t="shared" si="1"/>
        <v>0</v>
      </c>
      <c r="AE13" s="899">
        <f t="shared" si="1"/>
        <v>0</v>
      </c>
      <c r="AF13" s="899">
        <f t="shared" si="1"/>
        <v>26</v>
      </c>
      <c r="AG13" s="899">
        <f t="shared" si="1"/>
        <v>0</v>
      </c>
      <c r="AH13" s="899">
        <f t="shared" si="1"/>
        <v>39</v>
      </c>
      <c r="AI13" s="899">
        <f t="shared" si="1"/>
        <v>0</v>
      </c>
      <c r="AJ13" s="899">
        <f t="shared" si="1"/>
        <v>0</v>
      </c>
      <c r="AK13" s="899">
        <f t="shared" si="1"/>
        <v>0</v>
      </c>
      <c r="AL13" s="899">
        <f t="shared" si="1"/>
        <v>0</v>
      </c>
      <c r="AM13" s="899">
        <f t="shared" si="1"/>
        <v>1993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427</v>
      </c>
      <c r="BD13" s="899">
        <f t="shared" si="1"/>
        <v>742</v>
      </c>
      <c r="BE13" s="899">
        <f t="shared" si="1"/>
        <v>0</v>
      </c>
      <c r="BF13" s="899">
        <f t="shared" si="1"/>
        <v>0</v>
      </c>
      <c r="BG13" s="899">
        <f>IF(ISNUMBER(Datos!K13/Datos!J13),Datos!K13/Datos!J13," - ")</f>
        <v>0.74064171122994649</v>
      </c>
      <c r="BH13" s="903">
        <f>IF(ISNUMBER(((Datos!L13/Datos!K13)*11)/factor_trimestre),((Datos!L13/Datos!K13)*11)/factor_trimestre," - ")</f>
        <v>15.096871239470516</v>
      </c>
      <c r="BI13" s="899">
        <f>IF(ISNUMBER('Resol  Asuntos'!D13/NºAsuntos!G13),'Resol  Asuntos'!D13/NºAsuntos!G13," - ")</f>
        <v>0.23474436503573393</v>
      </c>
      <c r="BJ13" s="899" t="str">
        <f>IF(ISNUMBER(Datos!CI13/Datos!CJ13),Datos!CI13/Datos!CJ13," - ")</f>
        <v xml:space="preserve"> - </v>
      </c>
      <c r="BK13" s="899">
        <f>SUBTOTAL(9,BK8:BK12)</f>
        <v>0</v>
      </c>
      <c r="BL13" s="899">
        <f>IF(ISNUMBER((I13-AB13+L13)/(F13)),(I13-AB13+L13)/(F13)," - ")</f>
        <v>-0.8125</v>
      </c>
      <c r="BM13" s="904">
        <f>SUBTOTAL(9,BM9:BM12)</f>
        <v>7.1505376344086019E-2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640</v>
      </c>
      <c r="G16" s="598">
        <f>IF(ISNUMBER(IF(D_I="SI",Datos!I16,Datos!I16+Datos!AC16)),IF(D_I="SI",Datos!I16,Datos!I16+Datos!AC16)," - ")</f>
        <v>864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2410</v>
      </c>
      <c r="AC16" s="226">
        <f>IF(ISNUMBER(Datos!Q16),Datos!Q16," - ")</f>
        <v>22</v>
      </c>
      <c r="AD16" s="334"/>
      <c r="AE16" s="484"/>
      <c r="AF16" s="596">
        <f>IF(ISNUMBER(IF(D_I="SI",Datos!L16,Datos!L16+Datos!AF16)),IF(D_I="SI",Datos!L16,Datos!L16+Datos!AF16)," - ")</f>
        <v>1309</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344</v>
      </c>
      <c r="BD16" s="229">
        <f>IF(ISNUMBER(Datos!N16),Datos!N16," - ")</f>
        <v>1516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0.78272166287755762</v>
      </c>
      <c r="BH16" s="260">
        <f>IF(ISNUMBER(((IF(D_I="SI",Datos!L16/Datos!K16,(Datos!L16+Datos!AF16)/(Datos!K16+Datos!AE16)))*11)/factor_trimestre),((IF(D_I="SI",Datos!L16/Datos!K16,(Datos!L16+Datos!AF16)/(Datos!K16+Datos!AE16)))*11)/factor_trimestre," - ")</f>
        <v>5.9746887966804971</v>
      </c>
      <c r="BI16" s="243">
        <f>IF(ISNUMBER('Resol  Asuntos'!D16/NºAsuntos!G16),'Resol  Asuntos'!D16/NºAsuntos!G16," - ")</f>
        <v>0.14273858921161825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264</v>
      </c>
      <c r="AC17" s="226">
        <f>IF(ISNUMBER(Datos!Q17),Datos!Q17," - ")</f>
        <v>0</v>
      </c>
      <c r="AD17" s="334"/>
      <c r="AE17" s="484"/>
      <c r="AF17" s="332">
        <f>IF(ISNUMBER(Datos!L17),Datos!L17,"-")</f>
        <v>98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60</v>
      </c>
      <c r="BD17" s="229">
        <f>IF(ISNUMBER(Datos!N17),Datos!N17," - ")</f>
        <v>138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0.8741721854304636</v>
      </c>
      <c r="BH17" s="260">
        <f>IF(ISNUMBER(((IF(D_I="SI",Datos!L17/Datos!K17,(Datos!L17+Datos!AF17)/(Datos!K17+Datos!AE17)))*11)/factor_trimestre),((IF(D_I="SI",Datos!L17/Datos!K17,(Datos!L17+Datos!AF17)/(Datos!K17+Datos!AE17)))*11)/factor_trimestre," - ")</f>
        <v>4.083333333333333</v>
      </c>
      <c r="BI17" s="243">
        <f>IF(ISNUMBER('Resol  Asuntos'!D17/NºAsuntos!G17),'Resol  Asuntos'!D17/NºAsuntos!G17," - ")</f>
        <v>0.22727272727272727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640</v>
      </c>
      <c r="G18" s="898">
        <f>SUBTOTAL(9,G15:G17)</f>
        <v>924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2674</v>
      </c>
      <c r="AC18" s="899">
        <f t="shared" si="4"/>
        <v>22</v>
      </c>
      <c r="AD18" s="899">
        <f t="shared" si="4"/>
        <v>0</v>
      </c>
      <c r="AE18" s="899">
        <f t="shared" si="4"/>
        <v>0</v>
      </c>
      <c r="AF18" s="899">
        <f t="shared" si="4"/>
        <v>1407</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404</v>
      </c>
      <c r="BD18" s="899">
        <f t="shared" si="4"/>
        <v>1654</v>
      </c>
      <c r="BE18" s="899">
        <f t="shared" si="4"/>
        <v>0</v>
      </c>
      <c r="BF18" s="899">
        <f t="shared" si="4"/>
        <v>0</v>
      </c>
      <c r="BG18" s="899">
        <f>IF(ISNUMBER(Datos!K18/Datos!J18),Datos!K18/Datos!J18," - ")</f>
        <v>0.79089026915113869</v>
      </c>
      <c r="BH18" s="903">
        <f>IF(ISNUMBER(((Datos!L18/Datos!K18)*11)/factor_trimestre),((Datos!L18/Datos!K18)*11)/factor_trimestre," - ")</f>
        <v>5.7879581151832458</v>
      </c>
      <c r="BI18" s="899">
        <f>SUBTOTAL(9,BI15:BI17)</f>
        <v>0.37001131648434549</v>
      </c>
      <c r="BJ18" s="899">
        <f>SUBTOTAL(9,BJ15:BJ17)</f>
        <v>0</v>
      </c>
      <c r="BK18" s="899">
        <f>SUBTOTAL(9,BK15:BK17)</f>
        <v>0</v>
      </c>
      <c r="BL18" s="899">
        <f>IF(ISNUMBER((I18-AB18+L18)/(F18)),(I18-AB18+L18)/(F18)," - ")</f>
        <v>-4.1781249999999996</v>
      </c>
      <c r="BM18" s="905">
        <f>IF(ISNUMBER((Datos!P18-Datos!Q18)/(Datos!R18-Datos!P18+Datos!Q18)),(Datos!P18-Datos!Q18)/(Datos!R18-Datos!P18+Datos!Q18)," - ")</f>
        <v>0.13186813186813187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656</v>
      </c>
      <c r="G19" s="820">
        <f t="shared" si="6"/>
        <v>940</v>
      </c>
      <c r="H19" s="822">
        <f t="shared" si="6"/>
        <v>0</v>
      </c>
      <c r="I19" s="820">
        <f t="shared" si="6"/>
        <v>0</v>
      </c>
      <c r="J19" s="822">
        <f t="shared" si="6"/>
        <v>0</v>
      </c>
      <c r="K19" s="822">
        <f t="shared" si="6"/>
        <v>0</v>
      </c>
      <c r="L19" s="881">
        <f t="shared" si="6"/>
        <v>0</v>
      </c>
      <c r="M19" s="881">
        <f t="shared" si="6"/>
        <v>0</v>
      </c>
      <c r="N19" s="881">
        <f t="shared" si="6"/>
        <v>172</v>
      </c>
      <c r="O19" s="881">
        <f t="shared" si="6"/>
        <v>0</v>
      </c>
      <c r="P19" s="881">
        <f t="shared" si="6"/>
        <v>0</v>
      </c>
      <c r="Q19" s="822">
        <f t="shared" si="6"/>
        <v>464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2687</v>
      </c>
      <c r="AC19" s="821">
        <f t="shared" si="7"/>
        <v>319</v>
      </c>
      <c r="AD19" s="821">
        <f t="shared" si="7"/>
        <v>0</v>
      </c>
      <c r="AE19" s="821">
        <f t="shared" si="7"/>
        <v>0</v>
      </c>
      <c r="AF19" s="828">
        <f t="shared" si="7"/>
        <v>1433</v>
      </c>
      <c r="AG19" s="828">
        <f t="shared" si="7"/>
        <v>0</v>
      </c>
      <c r="AH19" s="828">
        <f t="shared" si="7"/>
        <v>39</v>
      </c>
      <c r="AI19" s="828">
        <f t="shared" si="7"/>
        <v>0</v>
      </c>
      <c r="AJ19" s="821">
        <f t="shared" si="7"/>
        <v>0</v>
      </c>
      <c r="AK19" s="828">
        <f t="shared" si="7"/>
        <v>0</v>
      </c>
      <c r="AL19" s="828">
        <f t="shared" si="7"/>
        <v>0</v>
      </c>
      <c r="AM19" s="828">
        <f t="shared" si="7"/>
        <v>2096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831</v>
      </c>
      <c r="BD19" s="820">
        <f t="shared" si="7"/>
        <v>2396</v>
      </c>
      <c r="BE19" s="820">
        <f t="shared" si="7"/>
        <v>0</v>
      </c>
      <c r="BF19" s="830">
        <f t="shared" si="7"/>
        <v>0</v>
      </c>
      <c r="BG19" s="915">
        <f>IF(ISNUMBER(Datos!K19/Datos!J19),Datos!K19/Datos!J19," - ")</f>
        <v>0.77084444444444444</v>
      </c>
      <c r="BH19" s="915">
        <f>IF(ISNUMBER(((Datos!L19/Datos!K19)*11)/factor_trimestre),((Datos!L19/Datos!K19)*11)/factor_trimestre," - ")</f>
        <v>9.3560885608856097</v>
      </c>
      <c r="BI19" s="813">
        <f>IF(ISNUMBER(Datos!J19/Datos!I19),Datos!J19/Datos!I19," - ")</f>
        <v>2.1444910407929849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-4.0960365853658534</v>
      </c>
      <c r="BM19" s="889">
        <f>IF(ISNUMBER((Datos!P19-Datos!Q19+R19)/(Datos!R19-Datos!P19+Datos!Q19-R19)),(Datos!P19-Datos!Q19+R19)/(Datos!R19-Datos!P19+Datos!Q19-R19)," - ")</f>
        <v>7.43208610968734E-2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360.26656797432645</v>
      </c>
      <c r="G21" s="552">
        <f>IF(ISNUMBER(STDEV(G8:G18)),STDEV(G8:G18),"-")</f>
        <v>473.68343859586224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1346.5172483113613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192.46610091130333</v>
      </c>
      <c r="BD21" s="551"/>
      <c r="BE21" s="551">
        <f>IF(ISNUMBER(STDEV(BE8:BE18)),STDEV(BE8:BE18),"-")</f>
        <v>0</v>
      </c>
      <c r="BF21" s="556">
        <f>IF(ISNUMBER(STDEV(BF8:BF18)),STDEV(BF8:BF18),"-")</f>
        <v>0</v>
      </c>
      <c r="BG21" s="775">
        <f>IF(ISNUMBER(STDEV(BG8:BG18)),STDEV(BG8:BG18),"-")</f>
        <v>0.10237591462991172</v>
      </c>
      <c r="BH21" s="776">
        <f>IF(ISNUMBER(STDEV(BH8:BH18)),STDEV(BH8:BH18),"-")</f>
        <v>7.0247965155933292</v>
      </c>
      <c r="BI21" s="249">
        <f>IF(ISNUMBER(STDEV(BI8:BI18)),STDEV(BI8:BI18),"-")</f>
        <v>9.3981937191808876E-2</v>
      </c>
      <c r="BJ21" s="230" t="str">
        <f>IF(ISNUMBER(BL21/BM21),BL21/BM21," - ")</f>
        <v xml:space="preserve"> - </v>
      </c>
      <c r="BK21" s="575"/>
      <c r="BL21" s="559">
        <f>IF(ISNUMBER(STDEV(BL8:BL18)),STDEV(BL8:BL18),"-")</f>
        <v>2.3798562604309743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3sKYODQGlXc/hNEfm1GIf5fn8zMpfdolvKin1d2IWP3E9rt16JqcvCHLTphMIWju2jPjlKUAmhZ2pXTdTcxg==" saltValue="nRiVHIidk3hE3IcbsqWP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COIN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0</v>
      </c>
      <c r="AA10" s="332">
        <f>IF(ISNUMBER(Datos!L10),Datos!L10,"-")</f>
        <v>26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297</v>
      </c>
      <c r="AA12" s="332" t="str">
        <f>IF(ISNUMBER(IF(J_V="SI",Datos!L12,Datos!L12+Datos!AB12)-IF(Monitorios="SI",Datos!CD12,0)),
                          IF(J_V="SI",Datos!L12,Datos!L12+Datos!AB12)-IF(Monitorios="SI",Datos!CD12,0),
                          " - ")</f>
        <v xml:space="preserve"> - </v>
      </c>
      <c r="AB12" s="334"/>
      <c r="AC12" s="334"/>
      <c r="AD12" s="484"/>
      <c r="AE12" s="484">
        <f>IF(ISNUMBER(Datos!R12),Datos!R12," - ")</f>
        <v>1993</v>
      </c>
      <c r="AF12" s="229" t="str">
        <f>IF(ISNUMBER(Datos!BV12),Datos!BV12," - ")</f>
        <v xml:space="preserve"> - </v>
      </c>
      <c r="AG12" s="225" t="str">
        <f>IF(ISNUMBER(Datos!DV12),Datos!DV12," - ")</f>
        <v xml:space="preserve"> - </v>
      </c>
      <c r="AH12" s="298"/>
      <c r="AI12" s="227"/>
      <c r="AJ12" s="225">
        <f>IF(ISNUMBER(Datos!M12),Datos!M12," - ")</f>
        <v>422</v>
      </c>
      <c r="AK12" s="229">
        <f>IF(ISNUMBER(Datos!N12),Datos!N12," - ")</f>
        <v>742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13.972314507198229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7.1505376344086019E-2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430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297</v>
      </c>
      <c r="AA13" s="900">
        <f t="shared" si="2"/>
        <v>26</v>
      </c>
      <c r="AB13" s="900">
        <f t="shared" si="2"/>
        <v>0</v>
      </c>
      <c r="AC13" s="900">
        <f t="shared" si="2"/>
        <v>0</v>
      </c>
      <c r="AD13" s="900">
        <f t="shared" si="2"/>
        <v>0</v>
      </c>
      <c r="AE13" s="900">
        <f t="shared" si="2"/>
        <v>1993</v>
      </c>
      <c r="AF13" s="908">
        <f t="shared" si="2"/>
        <v>0</v>
      </c>
      <c r="AG13" s="908">
        <f t="shared" si="2"/>
        <v>0</v>
      </c>
      <c r="AH13" s="908">
        <f t="shared" si="2"/>
        <v>0</v>
      </c>
      <c r="AI13" s="908">
        <f t="shared" si="2"/>
        <v>0</v>
      </c>
      <c r="AJ13" s="908">
        <f t="shared" si="2"/>
        <v>427</v>
      </c>
      <c r="AK13" s="908">
        <f t="shared" si="2"/>
        <v>742</v>
      </c>
      <c r="AL13" s="908">
        <f t="shared" si="2"/>
        <v>0</v>
      </c>
      <c r="AM13" s="908">
        <f t="shared" si="2"/>
        <v>0</v>
      </c>
      <c r="AN13" s="908">
        <f t="shared" si="2"/>
        <v>0</v>
      </c>
      <c r="AO13" s="904">
        <f>IF(ISNUMBER(((NºAsuntos!I13/NºAsuntos!G13)*11)/factor_trimestre),((NºAsuntos!I13/NºAsuntos!G13)*11)/factor_trimestre," - ")</f>
        <v>14.029686641011546</v>
      </c>
      <c r="AP13" s="910" t="str">
        <f>IF(ISNUMBER(Datos!CI13/Datos!CJ13),Datos!CI13/Datos!CJ13," - ")</f>
        <v xml:space="preserve"> - </v>
      </c>
      <c r="AQ13" s="928">
        <f t="shared" ref="AQ13:AV13" si="3">SUBTOTAL(9,AQ9:AQ12)</f>
        <v>0</v>
      </c>
      <c r="AR13" s="928">
        <f t="shared" si="3"/>
        <v>7.1505376344086019E-2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640</v>
      </c>
      <c r="G16" s="225">
        <f>IF(ISNUMBER(IF(D_I="SI",Datos!I16,Datos!I16+Datos!AC16)),IF(D_I="SI",Datos!I16,Datos!I16+Datos!AC16)," - ")</f>
        <v>864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2410</v>
      </c>
      <c r="Z16" s="619">
        <f>IF(ISNUMBER(Datos!Q16),Datos!Q16," - ")</f>
        <v>22</v>
      </c>
      <c r="AA16" s="332">
        <f>IF(ISNUMBER(IF(D_I="SI",Datos!L16,Datos!L16+Datos!AF16)),IF(D_I="SI",Datos!L16,Datos!L16+Datos!AF16)," - ")</f>
        <v>1309</v>
      </c>
      <c r="AB16" s="334"/>
      <c r="AC16" s="334"/>
      <c r="AD16" s="484"/>
      <c r="AE16" s="484">
        <f>IF(ISNUMBER(Datos!R16),Datos!R16," - ")</f>
        <v>99</v>
      </c>
      <c r="AF16" s="229" t="str">
        <f>IF(ISNUMBER(Datos!BV16),Datos!BV16," - ")</f>
        <v xml:space="preserve"> - </v>
      </c>
      <c r="AG16" s="225"/>
      <c r="AH16" s="298"/>
      <c r="AI16" s="227"/>
      <c r="AJ16" s="225">
        <f>IF(ISNUMBER(Datos!M16),Datos!M16," - ")</f>
        <v>344</v>
      </c>
      <c r="AK16" s="229">
        <f>IF(ISNUMBER(Datos!N16),Datos!N16," - ")</f>
        <v>1516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5.9746887966804971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264</v>
      </c>
      <c r="Z17" s="619">
        <f>IF(ISNUMBER(Datos!Q17),Datos!Q17," - ")</f>
        <v>0</v>
      </c>
      <c r="AA17" s="332">
        <f>IF(ISNUMBER(Datos!L17),Datos!L17,"-")</f>
        <v>98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60</v>
      </c>
      <c r="AK17" s="229">
        <f>IF(ISNUMBER(Datos!N17),Datos!N17," - ")</f>
        <v>138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4.083333333333333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640</v>
      </c>
      <c r="G18" s="898">
        <f>SUBTOTAL(9,G15:G17)</f>
        <v>924</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2674</v>
      </c>
      <c r="Z18" s="932">
        <f t="shared" si="5"/>
        <v>22</v>
      </c>
      <c r="AA18" s="932">
        <f t="shared" si="5"/>
        <v>1407</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404</v>
      </c>
      <c r="AK18" s="932">
        <f t="shared" si="5"/>
        <v>1654</v>
      </c>
      <c r="AL18" s="932">
        <f t="shared" si="5"/>
        <v>0</v>
      </c>
      <c r="AM18" s="932">
        <f t="shared" si="5"/>
        <v>0</v>
      </c>
      <c r="AN18" s="932">
        <f t="shared" si="5"/>
        <v>0</v>
      </c>
      <c r="AO18" s="934">
        <f>IF(ISNUMBER(((NºAsuntos!I18/NºAsuntos!G18)*11)/factor_trimestre),((NºAsuntos!I18/NºAsuntos!G18)*11)/factor_trimestre," - ")</f>
        <v>5.7879581151832458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656</v>
      </c>
      <c r="G19" s="820">
        <f t="shared" si="7"/>
        <v>940</v>
      </c>
      <c r="H19" s="821">
        <f t="shared" si="7"/>
        <v>0</v>
      </c>
      <c r="I19" s="820">
        <f t="shared" si="7"/>
        <v>0</v>
      </c>
      <c r="J19" s="822">
        <f t="shared" si="7"/>
        <v>0</v>
      </c>
      <c r="K19" s="820">
        <f t="shared" si="7"/>
        <v>0</v>
      </c>
      <c r="L19" s="823">
        <f t="shared" si="7"/>
        <v>0</v>
      </c>
      <c r="M19" s="820">
        <f t="shared" si="7"/>
        <v>0</v>
      </c>
      <c r="N19" s="821">
        <f t="shared" si="7"/>
        <v>464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2687</v>
      </c>
      <c r="Z19" s="827">
        <f t="shared" si="8"/>
        <v>319</v>
      </c>
      <c r="AA19" s="828">
        <f t="shared" si="8"/>
        <v>1433</v>
      </c>
      <c r="AB19" s="828">
        <f t="shared" si="8"/>
        <v>0</v>
      </c>
      <c r="AC19" s="828">
        <f t="shared" si="8"/>
        <v>0</v>
      </c>
      <c r="AD19" s="829">
        <f t="shared" si="8"/>
        <v>0</v>
      </c>
      <c r="AE19" s="829">
        <f t="shared" si="8"/>
        <v>2096</v>
      </c>
      <c r="AF19" s="830">
        <f t="shared" si="8"/>
        <v>0</v>
      </c>
      <c r="AG19" s="831">
        <f t="shared" si="8"/>
        <v>0</v>
      </c>
      <c r="AH19" s="832">
        <f t="shared" si="8"/>
        <v>0</v>
      </c>
      <c r="AI19" s="830">
        <f t="shared" si="8"/>
        <v>0</v>
      </c>
      <c r="AJ19" s="820">
        <f t="shared" si="8"/>
        <v>831</v>
      </c>
      <c r="AK19" s="820">
        <f t="shared" si="8"/>
        <v>2396</v>
      </c>
      <c r="AL19" s="820">
        <f t="shared" si="8"/>
        <v>0</v>
      </c>
      <c r="AM19" s="833">
        <f t="shared" si="8"/>
        <v>0</v>
      </c>
      <c r="AN19" s="823">
        <f>IF(ISNUMBER(Datos!K19/Datos!J19),Datos!K19/Datos!J19," - ")</f>
        <v>0.77084444444444444</v>
      </c>
      <c r="AO19" s="823">
        <f>IF(ISNUMBER(FIND("06",Criterios!A8,1)),(IF(ISNUMBER(((Datos!R19/Datos!Q19)*11)/factor_trimestre),((Datos!R19/Datos!Q19)*11)/factor_trimestre," - ")),(IF(ISNUMBER(((Datos!L19/Datos!K19)*11)/factor_trimestre),((Datos!L19/Datos!K19)*11)/factor_trimestre," - ")))</f>
        <v>9.3560885608856097</v>
      </c>
      <c r="AP19" s="834" t="str">
        <f>IF(ISNUMBER(Datos!CI19/Datos!CJ19),Datos!CI19/Datos!CJ19," - ")</f>
        <v xml:space="preserve"> - </v>
      </c>
      <c r="AQ19" s="834">
        <f>IF(OR(ISNUMBER(FIND("01",Criterios!A8,1)),ISNUMBER(FIND("02",Criterios!A8,1)),ISNUMBER(FIND("03",Criterios!A8,1)),ISNUMBER(FIND("04",Criterios!A8,1))),(J19-Y19+K19)/(F19-K19),(I19-Y19+K19)/(F19-K19))</f>
        <v>-4.0960365853658534</v>
      </c>
      <c r="AR19" s="834">
        <f>IF(ISNUMBER((Datos!P19-Datos!Q19+O19)/(Datos!R19-Datos!P19+Datos!Q19-O19)),(Datos!P19-Datos!Q19+O19)/(Datos!R19-Datos!P19+Datos!Q19-O19)," - ")</f>
        <v>7.43208610968734E-2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360.26656797432645</v>
      </c>
      <c r="G21" s="552">
        <f>IF(ISNUMBER(STDEV(G8:G18)),STDEV(G8:G18),"-")</f>
        <v>473.68343859586224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192.46610091130333</v>
      </c>
      <c r="AK21" s="252"/>
      <c r="AL21" s="252">
        <f>IF(ISNUMBER(STDEV(AL8:AL18)),STDEV(AL8:AL18),"-")</f>
        <v>0</v>
      </c>
      <c r="AM21" s="254">
        <f>IF(ISNUMBER(STDEV(AM8:AM18)),STDEV(AM8:AM18),"-")</f>
        <v>0</v>
      </c>
      <c r="AN21" s="539">
        <f>IF(ISNUMBER(STDEV(AN8:AN18)),STDEV(AN8:AN18),"-")</f>
        <v>0</v>
      </c>
      <c r="AO21" s="540">
        <f>IF(ISNUMBER(STDEV(AO8:AO18)),STDEV(AO8:AO18),"-")</f>
        <v>6.9176472032048135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QIWcB8HWwVZ7hzDT+o3ommYlOuJlZ6nYnEoDTxWHTG2vzmdGY7PuO5NQELDrTnr8zNzY7fbe/+2ZouKjYzDmQ==" saltValue="a3JAeOG0NZS/5RvQVmopp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7zdBfsqCOTLoah6d+6925wlGD+Lce+ncmKYDA0uLCORimIMad/JISOitFN7BUwDCPHjkQ3bS8f2hb4YudqakQ==" saltValue="jp5u1ubd4gbdjx9b/L+6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tmtoht1cAqXhek1bzhZqoROlvVWGeCSvEavqnnGrBzekQionOSE8PftYxGmUarW6NMwNfdjLfc4Zhc+IvKvg==" saltValue="TZEXifpsaCJiHNRC4PtJ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0.23474436503573393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0.16598933236209776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zSraIA/l0RNmmhEIshrsf+O4ZF2P2W8t4gwtroHaH68kZYBI5aZOU/rpbCrErIYGTeKYOHrEm9HZSUSs99uXQ==" saltValue="Kbkow6Ry5WL4hgSloldi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aZGXiJrPBKb/r3MbRxxkCYN+ePhb/6aT/DUdHQLm9OTHSQJwRjOSKKbTk/tfHXljt6wB4j3FqXyIThIIifVNg==" saltValue="x/71xZRNCnG+KgVcKC7q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COIN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23</v>
      </c>
      <c r="F10" s="404">
        <f>IF(ISNUMBER(E10/B10),E10/B10," - ")</f>
        <v>23</v>
      </c>
      <c r="G10" s="403">
        <f>IF(ISNUMBER(Datos!K10),Datos!K10," - ")</f>
        <v>13</v>
      </c>
      <c r="H10" s="404">
        <f>IF(ISNUMBER(G10/B10),G10/B10," - ")</f>
        <v>13</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1707</v>
      </c>
      <c r="D12" s="404">
        <f>IF(ISNUMBER(C12/Datos!BH12),C12/Datos!BH12," - ")</f>
        <v>569</v>
      </c>
      <c r="E12" s="403">
        <f>IF(ISNUMBER(IF(J_V="SI",Datos!J12,Datos!J12+Datos!Z12)),IF(J_V="SI",Datos!J12,Datos!J12+Datos!Z12)," - ")</f>
        <v>2393</v>
      </c>
      <c r="F12" s="404">
        <f>IF(ISNUMBER(E12/B12),E12/B12," - ")</f>
        <v>797.66666666666663</v>
      </c>
      <c r="G12" s="403">
        <f>IF(ISNUMBER(IF(J_V="SI",Datos!K12,Datos!K12+Datos!AA12)),IF(J_V="SI",Datos!K12,Datos!K12+Datos!AA12)," - ")</f>
        <v>1806</v>
      </c>
      <c r="H12" s="404">
        <f>IF(ISNUMBER(G12/B12),G12/B12," - ")</f>
        <v>602</v>
      </c>
      <c r="I12" s="403">
        <f>IF(ISNUMBER(IF(J_V="SI",Datos!L12,Datos!L12+Datos!AB12)),IF(J_V="SI",Datos!L12,Datos!L12+Datos!AB12)," - ")</f>
        <v>2294</v>
      </c>
      <c r="J12" s="404">
        <f>IF(ISNUMBER(I12/B12),I12/B12," - ")</f>
        <v>764.66666666666663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1723</v>
      </c>
      <c r="D13" s="850" t="str">
        <f>IF(ISNUMBER(C13/Datos!BI13),C13/Datos!BI13," - ")</f>
        <v xml:space="preserve"> - </v>
      </c>
      <c r="E13" s="849">
        <f>SUBTOTAL(9,E8:E12)</f>
        <v>2416</v>
      </c>
      <c r="F13" s="850">
        <f>IF(ISNUMBER(E13/B13),E13/B13," - ")</f>
        <v>805.33333333333337</v>
      </c>
      <c r="G13" s="849">
        <f>SUBTOTAL(9,G8:G12)</f>
        <v>1819</v>
      </c>
      <c r="H13" s="850">
        <f>IF(ISNUMBER(G13/B13),G13/B13," - ")</f>
        <v>606.33333333333337</v>
      </c>
      <c r="I13" s="849">
        <f>SUBTOTAL(9,I8:I12)</f>
        <v>2320</v>
      </c>
      <c r="J13" s="850">
        <f>IF(ISNUMBER(I13/B13),I13/B13," - ")</f>
        <v>773.33333333333337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864</v>
      </c>
      <c r="D16" s="404">
        <f>IF(ISNUMBER(C16/Datos!BH16),C16/Datos!BH16," - ")</f>
        <v>288</v>
      </c>
      <c r="E16" s="403">
        <f>IF(ISNUMBER(IF(D_I="SI",Datos!J16,Datos!J16+Datos!AD16)),IF(D_I="SI",Datos!J16,Datos!J16+Datos!AD16)," - ")</f>
        <v>3079</v>
      </c>
      <c r="F16" s="404">
        <f>IF(ISNUMBER(E16/B16),E16/B16," - ")</f>
        <v>1026.3333333333333</v>
      </c>
      <c r="G16" s="403">
        <f>IF(ISNUMBER(IF(D_I="SI",Datos!K16,Datos!K16+Datos!AE16)),IF(D_I="SI",Datos!K16,Datos!K16+Datos!AE16)," - ")</f>
        <v>2410</v>
      </c>
      <c r="H16" s="404">
        <f>IF(ISNUMBER(G16/B16),G16/B16," - ")</f>
        <v>803.33333333333337</v>
      </c>
      <c r="I16" s="403">
        <f>IF(ISNUMBER(IF(D_I="SI",Datos!L16,Datos!L16+Datos!AF16)),IF(D_I="SI",Datos!L16,Datos!L16+Datos!AF16)," - ")</f>
        <v>1309</v>
      </c>
      <c r="J16" s="404">
        <f>IF(ISNUMBER(I16/B16),I16/B16," - ")</f>
        <v>436.33333333333331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302</v>
      </c>
      <c r="F17" s="404">
        <f>IF(ISNUMBER(E17/B17),E17/B17," - ")</f>
        <v>302</v>
      </c>
      <c r="G17" s="403">
        <f>IF(ISNUMBER(IF(D_I="SI",Datos!K17,Datos!K17+Datos!AE17)),IF(D_I="SI",Datos!K17,Datos!K17+Datos!AE17)," - ")</f>
        <v>264</v>
      </c>
      <c r="H17" s="404">
        <f>IF(ISNUMBER(G17/B17),G17/B17," - ")</f>
        <v>264</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924</v>
      </c>
      <c r="D18" s="850" t="str">
        <f>IF(ISNUMBER(C18/Datos!BI18),C18/Datos!BI18," - ")</f>
        <v xml:space="preserve"> - </v>
      </c>
      <c r="E18" s="849">
        <f>SUBTOTAL(9,E14:E17)</f>
        <v>3381</v>
      </c>
      <c r="F18" s="850">
        <f>IF(ISNUMBER(E18/B18),E18/B18," - ")</f>
        <v>1127</v>
      </c>
      <c r="G18" s="849">
        <f>SUBTOTAL(9,G14:G17)</f>
        <v>2674</v>
      </c>
      <c r="H18" s="850">
        <f>IF(ISNUMBER(G18/B18),G18/B18," - ")</f>
        <v>891.33333333333337</v>
      </c>
      <c r="I18" s="849">
        <f>SUBTOTAL(9,I14:I17)</f>
        <v>1407</v>
      </c>
      <c r="J18" s="850">
        <f>IF(ISNUMBER(I18/B18),I18/B18," - ")</f>
        <v>469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2647</v>
      </c>
      <c r="D19" s="795" t="str">
        <f>IF(ISNUMBER(C19/Datos!BI19),C19/Datos!BI19," - ")</f>
        <v xml:space="preserve"> - </v>
      </c>
      <c r="E19" s="794">
        <f>SUBTOTAL(9,E9:E18)</f>
        <v>5797</v>
      </c>
      <c r="F19" s="795">
        <f>IF(ISNUMBER(E19/B19),E19/B19," - ")</f>
        <v>1932.3333333333333</v>
      </c>
      <c r="G19" s="794">
        <f>SUBTOTAL(9,G9:G18)</f>
        <v>4493</v>
      </c>
      <c r="H19" s="795">
        <f>IF(ISNUMBER(G19/B19),G19/B19," - ")</f>
        <v>1497.6666666666667</v>
      </c>
      <c r="I19" s="794">
        <f>SUBTOTAL(9,I9:I18)</f>
        <v>3727</v>
      </c>
      <c r="J19" s="795">
        <f>IF(ISNUMBER(I19/B19),I19/B19," - ")</f>
        <v>1242.3333333333333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7XoKr2JVvnsn0F79Bky48h3lwCeZ6jddFsBKbcbbxCpH3M90F44KivmirS/ZjcsP+U+zWXS3WRQiB9NYPSfA8A==" saltValue="G8bYCfTJzQ/ksVX9VpdH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COIN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422</v>
      </c>
      <c r="AM12" s="690">
        <f>IF(ISNUMBER(Datos!N12+DatosP!N16),Datos!N12+DatosP!N16," - ")</f>
        <v>742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13.972314507198229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7.1505376344086019E-2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430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297</v>
      </c>
      <c r="AE13" s="939">
        <f t="shared" si="1"/>
        <v>0</v>
      </c>
      <c r="AF13" s="939">
        <f t="shared" si="1"/>
        <v>26</v>
      </c>
      <c r="AG13" s="939">
        <f t="shared" si="1"/>
        <v>0</v>
      </c>
      <c r="AH13" s="939">
        <f t="shared" si="1"/>
        <v>1993</v>
      </c>
      <c r="AI13" s="939">
        <f t="shared" si="1"/>
        <v>0</v>
      </c>
      <c r="AJ13" s="939">
        <f t="shared" si="1"/>
        <v>0</v>
      </c>
      <c r="AK13" s="939">
        <f t="shared" si="1"/>
        <v>0</v>
      </c>
      <c r="AL13" s="939">
        <f t="shared" si="1"/>
        <v>427</v>
      </c>
      <c r="AM13" s="939">
        <f t="shared" si="1"/>
        <v>742</v>
      </c>
      <c r="AN13" s="939">
        <f t="shared" si="1"/>
        <v>0</v>
      </c>
      <c r="AO13" s="939">
        <f t="shared" si="1"/>
        <v>0</v>
      </c>
      <c r="AP13" s="944">
        <f>IF(ISNUMBER(((Datos!L13/Datos!K13)*11)/factor_trimestre),((Datos!L13/Datos!K13)*11)/factor_trimestre," - ")</f>
        <v>15.096871239470516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-0.8125</v>
      </c>
      <c r="AU13" s="939" t="str">
        <f>IF(ISNUMBER((DatosP!#REF!-DatosP!#REF!+DatosP!#REF!)/(DatosP!#REF!+DatosP!#REF!-DatosP!#REF!-DatosP!#REF!)),(DatosP!#REF!-DatosP!#REF!+DatosP!#REF!)/(DatosP!#REF!+DatosP!#REF!-DatosP!#REF!-DatosP!#REF!)," - ")</f>
        <v xml:space="preserve"> - </v>
      </c>
      <c r="AV13" s="945">
        <f>SUBTOTAL(9,AV9:AV12)</f>
        <v>7.1505376344086019E-2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5.7879581151832458</v>
      </c>
      <c r="AQ18" s="944">
        <f>IF(ISNUMBER(((Datos!M18/Datos!L18)*11)/factor_trimestre),((Datos!M18/Datos!L18)*11)/factor_trimestre," - ")</f>
        <v>3.1584932480454868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0.13186813186813187</v>
      </c>
      <c r="AW18" s="946">
        <f>IF(ISNUMBER((Datos!Q18-Datos!R18)/(Datos!S18-Datos!Q18+Datos!R18)),(Datos!Q18-Datos!R18)/(Datos!S18-Datos!Q18+Datos!R18)," - ")</f>
        <v>-9.631391200951249E-2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430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297</v>
      </c>
      <c r="AE19" s="957">
        <f t="shared" si="5"/>
        <v>0</v>
      </c>
      <c r="AF19" s="958">
        <f t="shared" si="5"/>
        <v>26</v>
      </c>
      <c r="AG19" s="958">
        <f t="shared" si="5"/>
        <v>0</v>
      </c>
      <c r="AH19" s="958">
        <f t="shared" si="5"/>
        <v>1993</v>
      </c>
      <c r="AI19" s="958">
        <f t="shared" si="5"/>
        <v>0</v>
      </c>
      <c r="AJ19" s="959">
        <f t="shared" si="5"/>
        <v>0</v>
      </c>
      <c r="AK19" s="959">
        <f t="shared" si="5"/>
        <v>0</v>
      </c>
      <c r="AL19" s="951">
        <f t="shared" si="5"/>
        <v>427</v>
      </c>
      <c r="AM19" s="951">
        <f t="shared" si="5"/>
        <v>742</v>
      </c>
      <c r="AN19" s="951">
        <f t="shared" si="5"/>
        <v>0</v>
      </c>
      <c r="AO19" s="951">
        <f t="shared" si="5"/>
        <v>0</v>
      </c>
      <c r="AP19" s="951">
        <f>IF(ISNUMBER(((Datos!L19/Datos!K19)*11)/factor_trimestre),((Datos!L19/Datos!K19)*11)/factor_trimestre," - ")</f>
        <v>9.3560885608856097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7.43208610968734E-2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243.65891460536932</v>
      </c>
      <c r="AM21" s="736"/>
      <c r="AN21" s="736">
        <f>IF(ISNUMBER(STDEV(AN8:AN18)),STDEV(AN8:AN18),"-")</f>
        <v>0</v>
      </c>
      <c r="AO21" s="742">
        <f>IF(ISNUMBER(STDEV(AO8:AO18)),STDEV(AO8:AO18),"-")</f>
        <v>0</v>
      </c>
      <c r="AP21" s="779">
        <f>IF(ISNUMBER(STDEV(AP8:AP18)),STDEV(AP8:AP18),"-")</f>
        <v>6.6447435621573963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FLizgbSJSy50N1O70brQE5e4uxSILUCbUyjEoX4cZ7dtVXO7PIRvso6XAsiubUOQIjcZj/ToFsXOv1ye6Rpew==" saltValue="V0fPkUHlWaX5vgq7dSRn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COIN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5QoBCaWv9P/kpyV8/stphJ69mba22Cricz9qs7J+zEIyrjPMqIJW/J4CmqVWM+9XH1B1oOtoN3ScH5Gv4+0hg==" saltValue="KM/MrU191cq1bLvnOUml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COIN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422</v>
      </c>
      <c r="E12" s="404">
        <f t="shared" si="0"/>
        <v>140.66666666666666</v>
      </c>
      <c r="F12" s="403">
        <f>IF(ISNUMBER(Datos!N12),Datos!N12," - ")</f>
        <v>742</v>
      </c>
      <c r="G12" s="404">
        <f t="shared" si="1"/>
        <v>247.33333333333334</v>
      </c>
      <c r="H12" s="403">
        <f>IF(ISNUMBER(Datos!O12),Datos!O12," - ")</f>
        <v>603</v>
      </c>
      <c r="I12" s="404">
        <f t="shared" si="2"/>
        <v>201</v>
      </c>
      <c r="BZ12" s="1186">
        <f>Datos!EZ12</f>
        <v>0</v>
      </c>
    </row>
    <row r="13" spans="1:78" ht="14.25" thickTop="1" thickBot="1">
      <c r="A13" s="848" t="str">
        <f>Datos!A13</f>
        <v>TOTAL</v>
      </c>
      <c r="B13" s="849">
        <f>Datos!AP13</f>
        <v>3</v>
      </c>
      <c r="C13" s="851">
        <f>Datos!AR13</f>
        <v>3</v>
      </c>
      <c r="D13" s="849">
        <f>SUBTOTAL(9,D9:D12)</f>
        <v>427</v>
      </c>
      <c r="E13" s="850">
        <f t="shared" si="0"/>
        <v>142.33333333333334</v>
      </c>
      <c r="F13" s="849">
        <f>SUBTOTAL(9,F9:F12)</f>
        <v>742</v>
      </c>
      <c r="G13" s="850">
        <f t="shared" si="1"/>
        <v>247.33333333333334</v>
      </c>
      <c r="H13" s="849">
        <f>SUBTOTAL(9,H9:H12)</f>
        <v>603</v>
      </c>
      <c r="I13" s="850">
        <f>IF(ISNUMBER(H13/B13),H13/B13," - ")</f>
        <v>201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344</v>
      </c>
      <c r="E16" s="404">
        <f t="shared" si="3"/>
        <v>114.66666666666667</v>
      </c>
      <c r="F16" s="403">
        <f>IF(ISNUMBER(Datos!N16),Datos!N16," - ")</f>
        <v>1516</v>
      </c>
      <c r="G16" s="404">
        <f t="shared" si="4"/>
        <v>505.33333333333331</v>
      </c>
      <c r="H16" s="403">
        <f>IF(ISNUMBER(Datos!O16),Datos!O16," - ")</f>
        <v>12</v>
      </c>
      <c r="I16" s="404">
        <f t="shared" si="5"/>
        <v>4</v>
      </c>
      <c r="BZ16" s="1186">
        <f>Datos!EZ16</f>
        <v>0</v>
      </c>
    </row>
    <row r="17" spans="1:78" ht="13.5" thickBot="1">
      <c r="A17" s="402" t="str">
        <f>Datos!A17</f>
        <v>Jdos. Violencia contra la mujer</v>
      </c>
      <c r="B17" s="427">
        <f>Datos!AO17</f>
        <v>1</v>
      </c>
      <c r="C17" s="428">
        <f>Datos!AQ17</f>
        <v>0</v>
      </c>
      <c r="D17" s="403">
        <f>IF(ISNUMBER(Datos!M17),Datos!M17," - ")</f>
        <v>60</v>
      </c>
      <c r="E17" s="404">
        <f>IF(ISNUMBER(D17/B17),D17/B17," - ")</f>
        <v>60</v>
      </c>
      <c r="F17" s="403">
        <f>IF(ISNUMBER(Datos!N17),Datos!N17," - ")</f>
        <v>138</v>
      </c>
      <c r="G17" s="404">
        <f>IF(ISNUMBER(F17/B17),F17/B17," - ")</f>
        <v>138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404</v>
      </c>
      <c r="E18" s="850">
        <f t="shared" si="3"/>
        <v>134.66666666666666</v>
      </c>
      <c r="F18" s="849">
        <f>SUBTOTAL(9,F15:F17)</f>
        <v>1654</v>
      </c>
      <c r="G18" s="850">
        <f t="shared" si="4"/>
        <v>551.33333333333337</v>
      </c>
      <c r="H18" s="849">
        <f>SUBTOTAL(9,H15:H17)</f>
        <v>12</v>
      </c>
      <c r="I18" s="850">
        <f>IF(ISNUMBER(H18/B18),H18/B18," - ")</f>
        <v>4</v>
      </c>
      <c r="BZ18" s="1186"/>
    </row>
    <row r="19" spans="1:78" ht="14.25" thickTop="1" thickBot="1">
      <c r="A19" s="793" t="str">
        <f>Datos!A19</f>
        <v>TOTAL JURISDICCIONES</v>
      </c>
      <c r="B19" s="794">
        <f>Datos!AP19</f>
        <v>3</v>
      </c>
      <c r="C19" s="794">
        <f>Datos!AR19</f>
        <v>3</v>
      </c>
      <c r="D19" s="794">
        <f>SUBTOTAL(9,D8:D18)</f>
        <v>831</v>
      </c>
      <c r="E19" s="795">
        <f>IF(ISNUMBER(D19/B19),D19/B19," - ")</f>
        <v>277</v>
      </c>
      <c r="F19" s="794">
        <f>SUBTOTAL(9,F8:F18)</f>
        <v>2396</v>
      </c>
      <c r="G19" s="795">
        <f>IF(ISNUMBER(F19/B19),F19/B19," - ")</f>
        <v>798.66666666666663</v>
      </c>
      <c r="H19" s="794">
        <f>SUBTOTAL(9,H8:H18)</f>
        <v>615</v>
      </c>
      <c r="I19" s="795">
        <f>IF(ISNUMBER(H19/B19),H19/B19," - ")</f>
        <v>205</v>
      </c>
    </row>
    <row r="22" spans="1:78">
      <c r="A22" s="391" t="str">
        <f>Criterios!A4</f>
        <v>Fecha Informe: 28 feb. 2025</v>
      </c>
    </row>
    <row r="27" spans="1:78">
      <c r="A27" s="414"/>
    </row>
  </sheetData>
  <sheetProtection algorithmName="SHA-512" hashValue="EReBWqijIGaAijaURNmbty6/bghxGqQPOiIkQ3tIKHmlZJW0p5P237pfKd8MeZ9JNkntXc9dtgZ4bN1jBNNcKg==" saltValue="iMJ4jW3NAOOQXzUnWf+Z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COIN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430</v>
      </c>
      <c r="C12" s="434">
        <f>IF(ISNUMBER(Datos!Q12),Datos!Q12," - ")</f>
        <v>297</v>
      </c>
      <c r="D12" s="408">
        <f>IF(ISNUMBER(Datos!R12),Datos!R12," - ")</f>
        <v>1993</v>
      </c>
    </row>
    <row r="13" spans="1:4" ht="14.25" thickTop="1" thickBot="1">
      <c r="A13" s="848" t="str">
        <f>Datos!A13</f>
        <v>TOTAL</v>
      </c>
      <c r="B13" s="849">
        <f>SUBTOTAL(9,B9:B12)</f>
        <v>430</v>
      </c>
      <c r="C13" s="853">
        <f>SUBTOTAL(9,C9:C12)</f>
        <v>297</v>
      </c>
      <c r="D13" s="851">
        <f>SUBTOTAL(9,D9:D12)</f>
        <v>1993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22</v>
      </c>
      <c r="D16" s="408">
        <f>IF(ISNUMBER(Datos!R16),Datos!R16," - ")</f>
        <v>99</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34</v>
      </c>
      <c r="C18" s="853">
        <f>SUBTOTAL(9,C15:C17)</f>
        <v>22</v>
      </c>
      <c r="D18" s="851">
        <f>SUBTOTAL(9,D15:D17)</f>
        <v>103</v>
      </c>
    </row>
    <row r="19" spans="1:4" ht="16.5" customHeight="1" thickTop="1" thickBot="1">
      <c r="A19" s="793" t="str">
        <f>Datos!A19</f>
        <v>TOTAL JURISDICCIONES</v>
      </c>
      <c r="B19" s="798">
        <f>SUBTOTAL(9,B8:B18)</f>
        <v>464</v>
      </c>
      <c r="C19" s="799">
        <f>SUBTOTAL(9,C8:C18)</f>
        <v>319</v>
      </c>
      <c r="D19" s="800">
        <f>SUBTOTAL(9,D8:D18)</f>
        <v>2096</v>
      </c>
    </row>
    <row r="20" spans="1:4" ht="7.5" customHeight="1"/>
    <row r="21" spans="1:4" ht="6" customHeight="1"/>
    <row r="22" spans="1:4">
      <c r="A22" s="391" t="str">
        <f>Criterios!A4</f>
        <v>Fecha Informe: 28 feb. 2025</v>
      </c>
    </row>
    <row r="27" spans="1:4">
      <c r="A27" s="414"/>
    </row>
  </sheetData>
  <sheetProtection algorithmName="SHA-512" hashValue="E6l4y7BlZ1beCdY4IxbX2GHENzuPTlFpaKf8BL4NXqMP1pQ4+QiLo/2qB9J2RvCewpQqD5gCJh7EjDDFj5NVGA==" saltValue="FVn+a90LZye5WLkKWxcw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COIN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2.2857142857142856</v>
      </c>
      <c r="D10" s="456" t="str">
        <f>IF(ISNUMBER((Datos!K10-Datos!U10)/Datos!U10),(Datos!K10-Datos!U10)/Datos!U10," - ")</f>
        <v xml:space="preserve"> - </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0.3878048780487805</v>
      </c>
      <c r="C12" s="456">
        <f>IF(ISNUMBER(
   IF(J_V="SI",(Datos!J12-Datos!T12)/Datos!T12,(Datos!J12+Datos!Z12-(Datos!T12+Datos!AH12))/(Datos!T12+Datos!AH12))
     ),IF(J_V="SI",(Datos!J12-Datos!T12)/Datos!T12,(Datos!J12+Datos!Z12-(Datos!T12+Datos!AH12))/(Datos!T12+Datos!AH12))," - ")</f>
        <v>-3.391199031085991E-2</v>
      </c>
      <c r="D12" s="456">
        <f>IF(ISNUMBER(
   IF(J_V="SI",(Datos!K12-Datos!U12)/Datos!U12,(Datos!K12+Datos!AA12-(Datos!U12+Datos!AI12))/(Datos!U12+Datos!AI12))
     ),IF(J_V="SI",(Datos!K12-Datos!U12)/Datos!U12,(Datos!K12+Datos!AA12-(Datos!U12+Datos!AI12))/(Datos!U12+Datos!AI12))," - ")</f>
        <v>-9.7000000000000003E-2</v>
      </c>
      <c r="E12" s="456">
        <f>IF(ISNUMBER(
   IF(J_V="SI",(Datos!L12-Datos!V12)/Datos!V12,(Datos!L12+Datos!AB12-(Datos!V12+Datos!AJ12))/(Datos!V12+Datos!AJ12))
     ),IF(J_V="SI",(Datos!L12-Datos!V12)/Datos!V12,(Datos!L12+Datos!AB12-(Datos!V12+Datos!AJ12))/(Datos!V12+Datos!AJ12))," - ")</f>
        <v>0.3438781487990627</v>
      </c>
      <c r="F12" s="456">
        <f>IF(ISNUMBER((Datos!M12-Datos!W12)/Datos!W12),(Datos!M12-Datos!W12)/Datos!W12," - ")</f>
        <v>0.21264367816091953</v>
      </c>
      <c r="G12" s="457">
        <f>IF(ISNUMBER((Datos!N12-Datos!X12)/Datos!X12),(Datos!N12-Datos!X12)/Datos!X12," - ")</f>
        <v>-0.13921113689095127</v>
      </c>
      <c r="H12" s="455">
        <f>IF(ISNUMBER(((NºAsuntos!G12/NºAsuntos!E12)-Datos!BD12)/Datos!BD12),((NºAsuntos!G12/NºAsuntos!E12)-Datos!BD12)/Datos!BD12," - ")</f>
        <v>-6.5302549101546217E-2</v>
      </c>
      <c r="I12" s="456">
        <f>IF(ISNUMBER(((NºAsuntos!I12/NºAsuntos!G12)-Datos!BE12)/Datos!BE12),((NºAsuntos!I12/NºAsuntos!G12)-Datos!BE12)/Datos!BE12," - ")</f>
        <v>0.48823715260139833</v>
      </c>
      <c r="J12" s="461">
        <f>IF(ISNUMBER((('Resol  Asuntos'!D12/NºAsuntos!G12)-Datos!BF12)/Datos!BF12),(('Resol  Asuntos'!D12/NºAsuntos!G12)-Datos!BF12)/Datos!BF12," - ")</f>
        <v>-0.45785253074952531</v>
      </c>
      <c r="K12" s="462">
        <f>IF(ISNUMBER((((NºAsuntos!C12+NºAsuntos!E12)/NºAsuntos!G12)-Datos!BG12)/Datos!BG12),(((NºAsuntos!C12+NºAsuntos!E12)/NºAsuntos!G12)-Datos!BG12)/Datos!BG12," - ")</f>
        <v>0.22482352832225164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0.39063761097659405</v>
      </c>
      <c r="C13" s="855">
        <f>IF(ISNUMBER(
   IF(J_V="SI",(Datos!J13-Datos!T13)/Datos!T13,(Datos!J13+Datos!Z13-(Datos!T13+Datos!AH13))/(Datos!T13+Datos!AH13))
     ),IF(J_V="SI",(Datos!J13-Datos!T13)/Datos!T13,(Datos!J13+Datos!Z13-(Datos!T13+Datos!AH13))/(Datos!T13+Datos!AH13))," - ")</f>
        <v>-2.7375201288244767E-2</v>
      </c>
      <c r="D13" s="855">
        <f>IF(ISNUMBER(
   IF(J_V="SI",(Datos!K13-Datos!U13)/Datos!U13,(Datos!K13+Datos!AA13-(Datos!U13+Datos!AI13))/(Datos!U13+Datos!AI13))
     ),IF(J_V="SI",(Datos!K13-Datos!U13)/Datos!U13,(Datos!K13+Datos!AA13-(Datos!U13+Datos!AI13))/(Datos!U13+Datos!AI13))," - ")</f>
        <v>-9.0499999999999997E-2</v>
      </c>
      <c r="E13" s="855">
        <f>IF(ISNUMBER(
   IF(J_V="SI",(Datos!L13-Datos!V13)/Datos!V13,(Datos!L13+Datos!AB13-(Datos!V13+Datos!AJ13))/(Datos!V13+Datos!AJ13))
     ),IF(J_V="SI",(Datos!L13-Datos!V13)/Datos!V13,(Datos!L13+Datos!AB13-(Datos!V13+Datos!AJ13))/(Datos!V13+Datos!AJ13))," - ")</f>
        <v>0.3464886825304701</v>
      </c>
      <c r="F13" s="856">
        <f>IF(ISNUMBER((Datos!M13-Datos!W13)/Datos!W13),(Datos!M13-Datos!W13)/Datos!W13," - ")</f>
        <v>0.22701149425287356</v>
      </c>
      <c r="G13" s="857">
        <f>IF(ISNUMBER((Datos!N13-Datos!X13)/Datos!X13),(Datos!N13-Datos!X13)/Datos!X13," - ")</f>
        <v>-0.13921113689095127</v>
      </c>
      <c r="H13" s="857">
        <f>IF(ISNUMBER(((NºAsuntos!G13/NºAsuntos!E13)-Datos!BD13)/Datos!BD13),((NºAsuntos!G13/NºAsuntos!E13)-Datos!BD13)/Datos!BD13," - ")</f>
        <v>-6.4901490066225156E-2</v>
      </c>
      <c r="I13" s="857">
        <f>IF(ISNUMBER(((NºAsuntos!I13/NºAsuntos!G13)-Datos!BE13)/Datos!BE13),((NºAsuntos!I13/NºAsuntos!G13)-Datos!BE13)/Datos!BE13," - ")</f>
        <v>0.48047133868111064</v>
      </c>
      <c r="J13" s="857">
        <f>IF(ISNUMBER((('Resol  Asuntos'!D13/NºAsuntos!G13)-Datos!BF13)/Datos!BF13),(('Resol  Asuntos'!D13/NºAsuntos!G13)-Datos!BF13)/Datos!BF13," - ")</f>
        <v>-0.45534950107718347</v>
      </c>
      <c r="K13" s="857">
        <f>IF(ISNUMBER((((NºAsuntos!C13+NºAsuntos!E13)/NºAsuntos!G13)-Datos!BG13)/Datos!BG13),(((NºAsuntos!C13+NºAsuntos!E13)/NºAsuntos!G13)-Datos!BG13)/Datos!BG13," - ")</f>
        <v>0.22236156770012191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0.20670391061452514</v>
      </c>
      <c r="C16" s="456">
        <f>IF(ISNUMBER(
   IF(D_I="SI",(Datos!J16-Datos!T16)/Datos!T16,(Datos!J16+Datos!AD16-(Datos!T16+Datos!AL16))/(Datos!T16+Datos!AL16))
     ),IF(D_I="SI",(Datos!J16-Datos!T16)/Datos!T16,(Datos!J16+Datos!AD16-(Datos!T16+Datos!AL16))/(Datos!T16+Datos!AL16))," - ")</f>
        <v>-0.22638190954773868</v>
      </c>
      <c r="D16" s="456">
        <f>IF(ISNUMBER(
   IF(D_I="SI",(Datos!K16-Datos!U16)/Datos!U16,(Datos!K16+Datos!AE16-(Datos!U16+Datos!AM16))/(Datos!U16+Datos!AM16))
     ),IF(D_I="SI",(Datos!K16-Datos!U16)/Datos!U16,(Datos!K16+Datos!AE16-(Datos!U16+Datos!AM16))/(Datos!U16+Datos!AM16))," - ")</f>
        <v>-0.37966537966537967</v>
      </c>
      <c r="E16" s="456">
        <f>IF(ISNUMBER(
   IF(D_I="SI",(Datos!L16-Datos!V16)/Datos!V16,(Datos!L16+Datos!AF16-(Datos!V16+Datos!AN16))/(Datos!V16+Datos!AN16))
     ),IF(D_I="SI",(Datos!L16-Datos!V16)/Datos!V16,(Datos!L16+Datos!AF16-(Datos!V16+Datos!AN16))/(Datos!V16+Datos!AN16))," - ")</f>
        <v>0.51504629629629628</v>
      </c>
      <c r="F16" s="456">
        <f>IF(ISNUMBER((Datos!M16-Datos!W16)/Datos!W16),(Datos!M16-Datos!W16)/Datos!W16," - ")</f>
        <v>0.25547445255474455</v>
      </c>
      <c r="G16" s="457">
        <f>IF(ISNUMBER((Datos!N16-Datos!X16)/Datos!X16),(Datos!N16-Datos!X16)/Datos!X16," - ")</f>
        <v>-0.51456932436759528</v>
      </c>
      <c r="H16" s="455">
        <f>IF(ISNUMBER(((NºAsuntos!G16/NºAsuntos!E16)-Datos!BD16)/Datos!BD16),((NºAsuntos!G16/NºAsuntos!E16)-Datos!BD16)/Datos!BD16," - ")</f>
        <v>-0.19813842516018548</v>
      </c>
      <c r="I16" s="456">
        <f>IF(ISNUMBER(((NºAsuntos!I16/NºAsuntos!G16)-Datos!BE16)/Datos!BE16),((NºAsuntos!I16/NºAsuntos!G16)-Datos!BE16)/Datos!BE16," - ")</f>
        <v>1.4423049216228676</v>
      </c>
      <c r="J16" s="461">
        <f>IF(ISNUMBER((('Resol  Asuntos'!D16/NºAsuntos!G16)-Datos!BF16)/Datos!BF16),(('Resol  Asuntos'!D16/NºAsuntos!G16)-Datos!BF16)/Datos!BF16," - ")</f>
        <v>1.0238664930187478</v>
      </c>
      <c r="K16" s="462">
        <f>IF(ISNUMBER((((NºAsuntos!C16+NºAsuntos!E16)/NºAsuntos!G16)-Datos!BG16)/Datos!BG16),(((NºAsuntos!C16+NºAsuntos!E16)/NºAsuntos!G16)-Datos!BG16)/Datos!BG16," - ")</f>
        <v>0.35354490799974542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9.0252707581227443E-2</v>
      </c>
      <c r="D17" s="456">
        <f>IF(ISNUMBER(
   IF(D_I="SI",(Datos!K17-Datos!U17)/Datos!U17,(Datos!K17+Datos!AE17-(Datos!U17+Datos!AM17))/(Datos!U17+Datos!AM17))
     ),IF(D_I="SI",(Datos!K17-Datos!U17)/Datos!U17,(Datos!K17+Datos!AE17-(Datos!U17+Datos!AM17))/(Datos!U17+Datos!AM17))," - ")</f>
        <v>-5.3763440860215055E-2</v>
      </c>
      <c r="E17" s="456">
        <f>IF(ISNUMBER(
   IF(D_I="SI",(Datos!L17-Datos!V17)/Datos!V17,(Datos!L17+Datos!AF17-(Datos!V17+Datos!AN17))/(Datos!V17+Datos!AN17))
     ),IF(D_I="SI",(Datos!L17-Datos!V17)/Datos!V17,(Datos!L17+Datos!AF17-(Datos!V17+Datos!AN17))/(Datos!V17+Datos!AN17))," - ")</f>
        <v>0.6333333333333333</v>
      </c>
      <c r="F17" s="456">
        <f>IF(ISNUMBER((Datos!M17-Datos!W17)/Datos!W17),(Datos!M17-Datos!W17)/Datos!W17," - ")</f>
        <v>4</v>
      </c>
      <c r="G17" s="457">
        <f>IF(ISNUMBER((Datos!N17-Datos!X17)/Datos!X17),(Datos!N17-Datos!X17)/Datos!X17," - ")</f>
        <v>-2.1276595744680851E-2</v>
      </c>
      <c r="H17" s="455">
        <f>IF(ISNUMBER(((NºAsuntos!G17/NºAsuntos!E17)-Datos!BD17)/Datos!BD17),((NºAsuntos!G17/NºAsuntos!E17)-Datos!BD17)/Datos!BD17," - ")</f>
        <v>-0.13209428184860791</v>
      </c>
      <c r="I17" s="456">
        <f>IF(ISNUMBER(((NºAsuntos!I17/NºAsuntos!G17)-Datos!BE17)/Datos!BE17),((NºAsuntos!I17/NºAsuntos!G17)-Datos!BE17)/Datos!BE17," - ")</f>
        <v>0.72613636363636358</v>
      </c>
      <c r="J17" s="461">
        <f>IF(ISNUMBER((('Resol  Asuntos'!D17/NºAsuntos!G17)-Datos!BF17)/Datos!BF17),(('Resol  Asuntos'!D17/NºAsuntos!G17)-Datos!BF17)/Datos!BF17," - ")</f>
        <v>4.2840909090909092</v>
      </c>
      <c r="K17" s="462">
        <f>IF(ISNUMBER((((NºAsuntos!C17+NºAsuntos!E17)/NºAsuntos!G17)-Datos!BG17)/Datos!BG17),(((NºAsuntos!C17+NºAsuntos!E17)/NºAsuntos!G17)-Datos!BG17)/Datos!BG17," - ")</f>
        <v>0.19180118946474067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0.21578947368421053</v>
      </c>
      <c r="C18" s="855">
        <f>IF(ISNUMBER(
   IF(Criterios!B14="SI",(Datos!J18-Datos!T18)/Datos!T18,(Datos!J18+Datos!AD18-(Datos!T18+Datos!AL18))/(Datos!T18+Datos!AL18))
     ),IF(Criterios!B14="SI",(Datos!J18-Datos!T18)/Datos!T18,(Datos!J18+Datos!AD18-(Datos!T18+Datos!AL18))/(Datos!T18+Datos!AL18))," - ")</f>
        <v>-0.20577871740662437</v>
      </c>
      <c r="D18" s="855">
        <f>IF(ISNUMBER(
   IF(Criterios!B14="SI",(Datos!K18-Datos!U18)/Datos!U18,(Datos!K18+Datos!AE18-(Datos!U18+Datos!AM18))/(Datos!U18+Datos!AM18))
     ),IF(Criterios!B14="SI",(Datos!K18-Datos!U18)/Datos!U18,(Datos!K18+Datos!AE18-(Datos!U18+Datos!AM18))/(Datos!U18+Datos!AM18))," - ")</f>
        <v>-0.35782901056676275</v>
      </c>
      <c r="E18" s="855">
        <f>IF(ISNUMBER(
   IF(Criterios!B14="SI",(Datos!L18-Datos!V18)/Datos!V18,(Datos!L18+Datos!AF18-(Datos!V18+Datos!AN18))/(Datos!V18+Datos!AN18))
     ),IF(Criterios!B14="SI",(Datos!L18-Datos!V18)/Datos!V18,(Datos!L18+Datos!AF18-(Datos!V18+Datos!AN18))/(Datos!V18+Datos!AN18))," - ")</f>
        <v>0.52272727272727271</v>
      </c>
      <c r="F18" s="856">
        <f>IF(ISNUMBER((Datos!M18-Datos!W18)/Datos!W18),(Datos!M18-Datos!W18)/Datos!W18," - ")</f>
        <v>0.41258741258741261</v>
      </c>
      <c r="G18" s="857">
        <f>IF(ISNUMBER((Datos!N18-Datos!X18)/Datos!X18),(Datos!N18-Datos!X18)/Datos!X18," - ")</f>
        <v>-0.49325980392156865</v>
      </c>
      <c r="H18" s="857">
        <f>IF(ISNUMBER(((NºAsuntos!G18/NºAsuntos!E18)-Datos!BD18)/Datos!BD18),((NºAsuntos!G18/NºAsuntos!E18)-Datos!BD18)/Datos!BD18," - ")</f>
        <v>-0.19144575509692666</v>
      </c>
      <c r="I18" s="857">
        <f>IF(ISNUMBER(((NºAsuntos!I18/NºAsuntos!G18)-Datos!BE18)/Datos!BE18),((NºAsuntos!I18/NºAsuntos!G18)-Datos!BE18)/Datos!BE18," - ")</f>
        <v>1.3712177874481537</v>
      </c>
      <c r="J18" s="857">
        <f>IF(ISNUMBER((('Resol  Asuntos'!D18/NºAsuntos!G18)-Datos!BF18)/Datos!BF18),(('Resol  Asuntos'!D18/NºAsuntos!G18)-Datos!BF18)/Datos!BF18," - ")</f>
        <v>1.1997060531091941</v>
      </c>
      <c r="K18" s="857">
        <f>IF(ISNUMBER((((NºAsuntos!C18+NºAsuntos!E18)/NºAsuntos!G18)-Datos!BG18)/Datos!BG18),(((NºAsuntos!C18+NºAsuntos!E18)/NºAsuntos!G18)-Datos!BG18)/Datos!BG18," - ")</f>
        <v>0.33622124567047956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0.32416208104052024</v>
      </c>
      <c r="C19" s="802">
        <f>IF(ISNUMBER(
   IF(J_V="SI",(Datos!J19-Datos!T19)/Datos!T19,(Datos!J19+Datos!Z19-(Datos!T19+Datos!AH19))/(Datos!T19+Datos!AH19))
     ),IF(J_V="SI",(Datos!J19-Datos!T19)/Datos!T19,(Datos!J19+Datos!Z19-(Datos!T19+Datos!AH19))/(Datos!T19+Datos!AH19))," - ")</f>
        <v>-0.14003856994511199</v>
      </c>
      <c r="D19" s="802">
        <f>IF(ISNUMBER(
   IF(J_V="SI",(Datos!K19-Datos!U19)/Datos!U19,(Datos!K19+Datos!AA19-(Datos!U19+Datos!AI19))/(Datos!U19+Datos!AI19))
     ),IF(J_V="SI",(Datos!K19-Datos!U19)/Datos!U19,(Datos!K19+Datos!AA19-(Datos!U19+Datos!AI19))/(Datos!U19+Datos!AI19))," - ")</f>
        <v>-0.2710902011680727</v>
      </c>
      <c r="E19" s="802">
        <f>IF(ISNUMBER(
   IF(J_V="SI",(Datos!L19-Datos!V19)/Datos!V19,(Datos!L19+Datos!AB19-(Datos!V19+Datos!AJ19))/(Datos!V19+Datos!AJ19))
     ),IF(J_V="SI",(Datos!L19-Datos!V19)/Datos!V19,(Datos!L19+Datos!AB19-(Datos!V19+Datos!AJ19))/(Datos!V19+Datos!AJ19))," - ")</f>
        <v>0.40800906686815264</v>
      </c>
      <c r="F19" s="803">
        <f>IF(ISNUMBER((Datos!M19-Datos!W19)/Datos!W19),(Datos!M19-Datos!W19)/Datos!W19," - ")</f>
        <v>0.3107255520504732</v>
      </c>
      <c r="G19" s="804">
        <f>IF(ISNUMBER((Datos!N19-Datos!X19)/Datos!X19),(Datos!N19-Datos!X19)/Datos!X19," - ")</f>
        <v>-0.41929229277750846</v>
      </c>
      <c r="H19" s="805">
        <f>IF(ISNUMBER((Tasas!B19-Datos!BD19)/Datos!BD19),(Tasas!B19-Datos!BD19)/Datos!BD19," - ")</f>
        <v>-0.15239245231567669</v>
      </c>
      <c r="I19" s="806">
        <f>IF(ISNUMBER((Tasas!C19-Datos!BE19)/Datos!BE19),(Tasas!C19-Datos!BE19)/Datos!BE19," - ")</f>
        <v>0.93166434190413805</v>
      </c>
      <c r="J19" s="807">
        <f>IF(ISNUMBER((Tasas!D19-Datos!BF19)/Datos!BF19),(Tasas!D19-Datos!BF19)/Datos!BF19," - ")</f>
        <v>-6.9174581288275741E-3</v>
      </c>
      <c r="K19" s="807">
        <f>IF(ISNUMBER((Tasas!E19-Datos!BG19)/Datos!BG19),(Tasas!E19-Datos!BG19)/Datos!BG19," - ")</f>
        <v>0.32544894397132373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jIwceWuxIZr5qn3XAdapazQgjYiYVHcaK8Q9Wvcg3gbBocFfsVgQNUxWifUnHHuIZvF7caldW9gqOEmqAKhRA==" saltValue="Iro3DnUMIdV9N7CEpVp7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COIN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0.56521739130434778</v>
      </c>
      <c r="C10" s="443">
        <f>IF(ISNUMBER(NºAsuntos!I10/NºAsuntos!G10),NºAsuntos!I10/NºAsuntos!G10," - ")</f>
        <v>2</v>
      </c>
      <c r="D10" s="444">
        <f>IF(ISNUMBER('Resol  Asuntos'!D10/NºAsuntos!G10),'Resol  Asuntos'!D10/NºAsuntos!G10," - ")</f>
        <v>0.38461538461538464</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0.75470121186794814</v>
      </c>
      <c r="C12" s="443">
        <f>IF(ISNUMBER(NºAsuntos!I12/NºAsuntos!G12),NºAsuntos!I12/NºAsuntos!G12," - ")</f>
        <v>1.2702104097452935</v>
      </c>
      <c r="D12" s="444">
        <f>IF(ISNUMBER('Resol  Asuntos'!D12/NºAsuntos!G12),'Resol  Asuntos'!D12/NºAsuntos!G12," - ")</f>
        <v>0.23366555924695459</v>
      </c>
      <c r="E12" s="445">
        <f>IF(ISNUMBER((NºAsuntos!C12+NºAsuntos!E12)/NºAsuntos!G12),(NºAsuntos!C12+NºAsuntos!E12)/NºAsuntos!G12," - ")</f>
        <v>2.2702104097452933</v>
      </c>
      <c r="G12" s="463"/>
    </row>
    <row r="13" spans="1:7" ht="14.25" thickTop="1" thickBot="1">
      <c r="A13" s="848" t="str">
        <f>Datos!A13</f>
        <v>TOTAL</v>
      </c>
      <c r="B13" s="858">
        <f>IF(ISNUMBER(NºAsuntos!G13/NºAsuntos!E13),NºAsuntos!G13/NºAsuntos!E13," - ")</f>
        <v>0.75289735099337751</v>
      </c>
      <c r="C13" s="859">
        <f>IF(ISNUMBER(NºAsuntos!I13/NºAsuntos!G13),NºAsuntos!I13/NºAsuntos!G13," - ")</f>
        <v>1.2754260582737769</v>
      </c>
      <c r="D13" s="860">
        <f>IF(ISNUMBER('Resol  Asuntos'!D13/NºAsuntos!G13),'Resol  Asuntos'!D13/NºAsuntos!G13," - ")</f>
        <v>0.23474436503573393</v>
      </c>
      <c r="E13" s="861">
        <f>IF(ISNUMBER((NºAsuntos!C13+NºAsuntos!E13)/NºAsuntos!G13),(NºAsuntos!C13+NºAsuntos!E13)/NºAsuntos!G13," - ")</f>
        <v>2.2754260582737769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0.78272166287755762</v>
      </c>
      <c r="C16" s="443">
        <f>IF(ISNUMBER(NºAsuntos!I16/NºAsuntos!G16),NºAsuntos!I16/NºAsuntos!G16," - ")</f>
        <v>0.54315352697095431</v>
      </c>
      <c r="D16" s="444">
        <f>IF(ISNUMBER('Resol  Asuntos'!D16/NºAsuntos!G16),'Resol  Asuntos'!D16/NºAsuntos!G16," - ")</f>
        <v>0.14273858921161825</v>
      </c>
      <c r="E16" s="445">
        <f>IF(ISNUMBER((NºAsuntos!C16+NºAsuntos!E16)/NºAsuntos!G16),(NºAsuntos!C16+NºAsuntos!E16)/NºAsuntos!G16," - ")</f>
        <v>1.6360995850622406</v>
      </c>
      <c r="G16" s="463"/>
    </row>
    <row r="17" spans="1:7" ht="13.5" thickBot="1">
      <c r="A17" s="402" t="str">
        <f>Datos!A17</f>
        <v>Jdos. Violencia contra la mujer</v>
      </c>
      <c r="B17" s="442">
        <f>IF(ISNUMBER(NºAsuntos!G17/NºAsuntos!E17),NºAsuntos!G17/NºAsuntos!E17," - ")</f>
        <v>0.8741721854304636</v>
      </c>
      <c r="C17" s="443">
        <f>IF(ISNUMBER(NºAsuntos!I17/NºAsuntos!G17),NºAsuntos!I17/NºAsuntos!G17," - ")</f>
        <v>0.37121212121212122</v>
      </c>
      <c r="D17" s="444">
        <f>IF(ISNUMBER('Resol  Asuntos'!D17/NºAsuntos!G17),'Resol  Asuntos'!D17/NºAsuntos!G17," - ")</f>
        <v>0.22727272727272727</v>
      </c>
      <c r="E17" s="445">
        <f>IF(ISNUMBER((NºAsuntos!C17+NºAsuntos!E17)/NºAsuntos!G17),(NºAsuntos!C17+NºAsuntos!E17)/NºAsuntos!G17," - ")</f>
        <v>1.3712121212121211</v>
      </c>
      <c r="G17" s="463"/>
    </row>
    <row r="18" spans="1:7" ht="14.25" thickTop="1" thickBot="1">
      <c r="A18" s="848" t="str">
        <f>Datos!A18</f>
        <v>TOTAL</v>
      </c>
      <c r="B18" s="858">
        <f>IF(ISNUMBER(NºAsuntos!G18/NºAsuntos!E18),NºAsuntos!G18/NºAsuntos!E18," - ")</f>
        <v>0.79089026915113869</v>
      </c>
      <c r="C18" s="859">
        <f>IF(ISNUMBER(NºAsuntos!I18/NºAsuntos!G18),NºAsuntos!I18/NºAsuntos!G18," - ")</f>
        <v>0.52617801047120416</v>
      </c>
      <c r="D18" s="862">
        <f>IF(ISNUMBER('Resol  Asuntos'!D18/NºAsuntos!G18),'Resol  Asuntos'!D18/NºAsuntos!G18," - ")</f>
        <v>0.15108451757666416</v>
      </c>
      <c r="E18" s="861">
        <f>IF(ISNUMBER((NºAsuntos!C18+NºAsuntos!E18)/NºAsuntos!G18),(NºAsuntos!C18+NºAsuntos!E18)/NºAsuntos!G18," - ")</f>
        <v>1.6099476439790577</v>
      </c>
      <c r="G18" s="463"/>
    </row>
    <row r="19" spans="1:7" ht="15.75" customHeight="1" thickTop="1" thickBot="1">
      <c r="A19" s="793" t="str">
        <f>Datos!A19</f>
        <v>TOTAL JURISDICCIONES</v>
      </c>
      <c r="B19" s="808">
        <f>IF(ISNUMBER(NºAsuntos!G19/NºAsuntos!E19),NºAsuntos!G19/NºAsuntos!E19," - ")</f>
        <v>0.77505606348111089</v>
      </c>
      <c r="C19" s="809">
        <f>IF(ISNUMBER(NºAsuntos!I19/NºAsuntos!G19),NºAsuntos!I19/NºAsuntos!G19," - ")</f>
        <v>0.82951257511684839</v>
      </c>
      <c r="D19" s="810">
        <f>IF(ISNUMBER('Resol  Asuntos'!D19/NºAsuntos!G19),'Resol  Asuntos'!D19/NºAsuntos!G19," - ")</f>
        <v>0.18495437346984198</v>
      </c>
      <c r="E19" s="811">
        <f>IF(ISNUMBER((NºAsuntos!C19+NºAsuntos!E19)/NºAsuntos!G19),(NºAsuntos!C19+NºAsuntos!E19)/NºAsuntos!G19," - ")</f>
        <v>1.8793679056309816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Kxd2Jh5W/9eVY8Az2IrnVUkH3BLrAN1JjtPJaSmiRakbLxzO9K4JcKxdrvwjaNNgLvNTxZVmnl3MoA7UcXqmA==" saltValue="oo2Y6bEiuM+uUu78unVp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COIN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0</v>
      </c>
      <c r="Y10" s="334">
        <f t="shared" ref="Y10:Y12" si="0">SUM(W10:X10)</f>
        <v>13</v>
      </c>
      <c r="Z10" s="335" t="str">
        <f>IF(ISNUMBER(Datos!CC10),Datos!CC10," - ")</f>
        <v xml:space="preserve"> - </v>
      </c>
      <c r="AA10" s="332">
        <f>IF(ISNUMBER(Datos!L10),Datos!L10,"-")</f>
        <v>26</v>
      </c>
      <c r="AB10" s="334">
        <f>IF(ISNUMBER(Datos!R10),Datos!R10," - ")</f>
        <v>0</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0.56521739130434778</v>
      </c>
      <c r="AM10" s="260">
        <f>IF(ISNUMBER(((NºAsuntos!I10/NºAsuntos!G10)*11)/factor_trimestre),((NºAsuntos!I10/NºAsuntos!G10)*11)/factor_trimestre," - ")</f>
        <v>22</v>
      </c>
      <c r="AN10" s="244">
        <f>IF(ISNUMBER('Resol  Asuntos'!D10/NºAsuntos!G10),'Resol  Asuntos'!D10/NºAsuntos!G10," - ")</f>
        <v>0.38461538461538464</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297</v>
      </c>
      <c r="Y12" s="334">
        <f t="shared" si="0"/>
        <v>297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422</v>
      </c>
      <c r="AJ12" s="229" t="str">
        <f>IF(ISNUMBER(Datos!BW12),Datos!BW12," - ")</f>
        <v xml:space="preserve"> - </v>
      </c>
      <c r="AK12" s="228" t="str">
        <f>IF(ISNUMBER(Datos!BX12),Datos!BX12," - ")</f>
        <v xml:space="preserve"> - </v>
      </c>
      <c r="AL12" s="243">
        <f>IF(ISNUMBER(NºAsuntos!G12/NºAsuntos!E12),NºAsuntos!G12/NºAsuntos!E12," - ")</f>
        <v>0.75470121186794814</v>
      </c>
      <c r="AM12" s="260">
        <f>IF(ISNUMBER(((NºAsuntos!I12/NºAsuntos!G12)*11)/factor_trimestre),((NºAsuntos!I12/NºAsuntos!G12)*11)/factor_trimestre," - ")</f>
        <v>13.972314507198229</v>
      </c>
      <c r="AN12" s="244">
        <f>IF(ISNUMBER('Resol  Asuntos'!D12/NºAsuntos!G12),'Resol  Asuntos'!D12/NºAsuntos!G12," - ")</f>
        <v>0.23366555924695459</v>
      </c>
      <c r="AO12" s="245">
        <f>IF(ISNUMBER((NºAsuntos!C12+NºAsuntos!E12)/NºAsuntos!G12),(NºAsuntos!C12+NºAsuntos!E12)/NºAsuntos!G12," - ")</f>
        <v>2.2702104097452933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430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297</v>
      </c>
      <c r="Y13" s="868">
        <f t="shared" si="4"/>
        <v>310</v>
      </c>
      <c r="Z13" s="868">
        <f t="shared" si="4"/>
        <v>0</v>
      </c>
      <c r="AA13" s="868">
        <f t="shared" si="4"/>
        <v>26</v>
      </c>
      <c r="AB13" s="868">
        <f t="shared" si="4"/>
        <v>1993</v>
      </c>
      <c r="AC13" s="868">
        <f t="shared" si="4"/>
        <v>26</v>
      </c>
      <c r="AD13" s="868">
        <f t="shared" si="4"/>
        <v>0</v>
      </c>
      <c r="AE13" s="872">
        <f t="shared" si="4"/>
        <v>0</v>
      </c>
      <c r="AF13" s="865">
        <f t="shared" si="4"/>
        <v>0</v>
      </c>
      <c r="AG13" s="873">
        <f t="shared" si="4"/>
        <v>0</v>
      </c>
      <c r="AH13" s="870">
        <f t="shared" si="4"/>
        <v>0</v>
      </c>
      <c r="AI13" s="865">
        <f t="shared" si="4"/>
        <v>427</v>
      </c>
      <c r="AJ13" s="867">
        <f t="shared" si="4"/>
        <v>0</v>
      </c>
      <c r="AK13" s="870">
        <f>SUBTOTAL(9,AK9:AK12)</f>
        <v>0</v>
      </c>
      <c r="AL13" s="874">
        <f>IF(ISNUMBER(NºAsuntos!G13/NºAsuntos!E13),NºAsuntos!G13/NºAsuntos!E13," - ")</f>
        <v>0.75289735099337751</v>
      </c>
      <c r="AM13" s="874">
        <f>IF(ISNUMBER(((NºAsuntos!I13/NºAsuntos!G13)*11)/factor_trimestre),((NºAsuntos!I13/NºAsuntos!G13)*11)/factor_trimestre," - ")</f>
        <v>14.029686641011546</v>
      </c>
      <c r="AN13" s="875">
        <f>IF(ISNUMBER('Resol  Asuntos'!D13/NºAsuntos!G13),'Resol  Asuntos'!D13/NºAsuntos!G13," - ")</f>
        <v>0.23474436503573393</v>
      </c>
      <c r="AO13" s="876">
        <f>IF(ISNUMBER((NºAsuntos!C13+NºAsuntos!E13)/NºAsuntos!G13),(NºAsuntos!C13+NºAsuntos!E13)/NºAsuntos!G13," - ")</f>
        <v>2.2754260582737769</v>
      </c>
      <c r="AP13" s="877" t="str">
        <f t="shared" si="2"/>
        <v xml:space="preserve"> - </v>
      </c>
      <c r="AQ13" s="877">
        <f>IF(ISNUMBER((H13-W13+K13)/(F13)),(H13-W13+K13)/(F13)," - ")</f>
        <v>-0.8125</v>
      </c>
      <c r="AR13" s="878">
        <f>IF(ISNUMBER((Datos!P13-Datos!Q13)/(Datos!R13-Datos!P13+Datos!Q13)),(Datos!P13-Datos!Q13)/(Datos!R13-Datos!P13+Datos!Q13)," - ")</f>
        <v>7.1505376344086019E-2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640</v>
      </c>
      <c r="G16" s="333">
        <f>IF(ISNUMBER(IF(D_I="SI",Datos!I16,Datos!I16+Datos!AC16)),IF(D_I="SI",Datos!I16,Datos!I16+Datos!AC16)," - ")</f>
        <v>864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2410</v>
      </c>
      <c r="X16" s="226">
        <f>IF(ISNUMBER(Datos!Q16),Datos!Q16," - ")</f>
        <v>22</v>
      </c>
      <c r="Y16" s="334">
        <f t="shared" ref="Y16:Y17" si="7">SUM(W16:X16)</f>
        <v>2432</v>
      </c>
      <c r="Z16" s="335" t="str">
        <f>IF(ISNUMBER(Datos!CC16),Datos!CC16," - ")</f>
        <v xml:space="preserve"> - </v>
      </c>
      <c r="AA16" s="332">
        <f>IF(ISNUMBER(IF(D_I="SI",Datos!L16,Datos!L16+Datos!AF16)),IF(D_I="SI",Datos!L16,Datos!L16+Datos!AF16)," - ")</f>
        <v>1309</v>
      </c>
      <c r="AB16" s="334">
        <f>IF(ISNUMBER(Datos!R16),Datos!R16," - ")</f>
        <v>99</v>
      </c>
      <c r="AC16" s="334">
        <f t="shared" si="6"/>
        <v>1408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344</v>
      </c>
      <c r="AJ16" s="231" t="str">
        <f>IF(ISNUMBER(Datos!BW16),Datos!BW16," - ")</f>
        <v xml:space="preserve"> - </v>
      </c>
      <c r="AK16" s="232" t="str">
        <f>IF(ISNUMBER(Datos!BX16),Datos!BX16," - ")</f>
        <v xml:space="preserve"> - </v>
      </c>
      <c r="AL16" s="243">
        <f>IF(ISNUMBER(NºAsuntos!G16/NºAsuntos!E16),NºAsuntos!G16/NºAsuntos!E16," - ")</f>
        <v>0.78272166287755762</v>
      </c>
      <c r="AM16" s="260">
        <f>IF(ISNUMBER(((NºAsuntos!I16/NºAsuntos!G16)*11)/factor_trimestre),((NºAsuntos!I16/NºAsuntos!G16)*11)/factor_trimestre," - ")</f>
        <v>5.9746887966804971</v>
      </c>
      <c r="AN16" s="244">
        <f>IF(ISNUMBER('Resol  Asuntos'!D16/NºAsuntos!G16),'Resol  Asuntos'!D16/NºAsuntos!G16," - ")</f>
        <v>0.14273858921161825</v>
      </c>
      <c r="AO16" s="245">
        <f>IF(ISNUMBER((NºAsuntos!C16+NºAsuntos!E16)/NºAsuntos!G16),(NºAsuntos!C16+NºAsuntos!E16)/NºAsuntos!G16," - ")</f>
        <v>1.6360995850622406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264</v>
      </c>
      <c r="X17" s="226">
        <f>IF(ISNUMBER(Datos!Q17),Datos!Q17," - ")</f>
        <v>0</v>
      </c>
      <c r="Y17" s="334">
        <f t="shared" si="7"/>
        <v>264</v>
      </c>
      <c r="Z17" s="335" t="str">
        <f>IF(ISNUMBER(Datos!CC17),Datos!CC17," - ")</f>
        <v xml:space="preserve"> - </v>
      </c>
      <c r="AA17" s="332">
        <f>IF(ISNUMBER(Datos!L17),Datos!L17,"-")</f>
        <v>98</v>
      </c>
      <c r="AB17" s="334">
        <f>IF(ISNUMBER(Datos!R17),Datos!R17," - ")</f>
        <v>4</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60</v>
      </c>
      <c r="AJ17" s="231" t="str">
        <f>IF(ISNUMBER(Datos!BW17),Datos!BW17," - ")</f>
        <v xml:space="preserve"> - </v>
      </c>
      <c r="AK17" s="232" t="str">
        <f>IF(ISNUMBER(Datos!BX17),Datos!BX17," - ")</f>
        <v xml:space="preserve"> - </v>
      </c>
      <c r="AL17" s="243">
        <f>IF(ISNUMBER(NºAsuntos!G17/NºAsuntos!E17),NºAsuntos!G17/NºAsuntos!E17," - ")</f>
        <v>0.8741721854304636</v>
      </c>
      <c r="AM17" s="260">
        <f>IF(ISNUMBER(((NºAsuntos!I17/NºAsuntos!G17)*11)/factor_trimestre),((NºAsuntos!I17/NºAsuntos!G17)*11)/factor_trimestre," - ")</f>
        <v>4.083333333333333</v>
      </c>
      <c r="AN17" s="244">
        <f>IF(ISNUMBER('Resol  Asuntos'!D17/NºAsuntos!G17),'Resol  Asuntos'!D17/NºAsuntos!G17," - ")</f>
        <v>0.22727272727272727</v>
      </c>
      <c r="AO17" s="245">
        <f>IF(ISNUMBER((NºAsuntos!C17+NºAsuntos!E17)/NºAsuntos!G17),(NºAsuntos!C17+NºAsuntos!E17)/NºAsuntos!G17," - ")</f>
        <v>1.3712121212121211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640</v>
      </c>
      <c r="G18" s="866">
        <f>SUBTOTAL(9,G15:G17)</f>
        <v>924</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2674</v>
      </c>
      <c r="X18" s="867">
        <f t="shared" si="11"/>
        <v>22</v>
      </c>
      <c r="Y18" s="868">
        <f t="shared" si="11"/>
        <v>2696</v>
      </c>
      <c r="Z18" s="868">
        <f t="shared" si="11"/>
        <v>0</v>
      </c>
      <c r="AA18" s="868">
        <f t="shared" si="11"/>
        <v>1407</v>
      </c>
      <c r="AB18" s="868">
        <f t="shared" si="11"/>
        <v>103</v>
      </c>
      <c r="AC18" s="868">
        <f t="shared" si="11"/>
        <v>1510</v>
      </c>
      <c r="AD18" s="868">
        <f t="shared" si="11"/>
        <v>0</v>
      </c>
      <c r="AE18" s="872">
        <f t="shared" si="11"/>
        <v>0</v>
      </c>
      <c r="AF18" s="865">
        <f t="shared" si="11"/>
        <v>0</v>
      </c>
      <c r="AG18" s="873">
        <f t="shared" si="11"/>
        <v>0</v>
      </c>
      <c r="AH18" s="870">
        <f t="shared" si="11"/>
        <v>0</v>
      </c>
      <c r="AI18" s="865">
        <f t="shared" si="11"/>
        <v>404</v>
      </c>
      <c r="AJ18" s="867">
        <f t="shared" si="11"/>
        <v>0</v>
      </c>
      <c r="AK18" s="870">
        <f t="shared" si="11"/>
        <v>0</v>
      </c>
      <c r="AL18" s="874">
        <f>IF(ISNUMBER(NºAsuntos!G18/NºAsuntos!E18),NºAsuntos!G18/NºAsuntos!E18," - ")</f>
        <v>0.79089026915113869</v>
      </c>
      <c r="AM18" s="874">
        <f>IF(ISNUMBER(((NºAsuntos!I18/NºAsuntos!G18)*11)/factor_trimestre),((NºAsuntos!I18/NºAsuntos!G18)*11)/factor_trimestre," - ")</f>
        <v>5.7879581151832458</v>
      </c>
      <c r="AN18" s="875">
        <f>IF(ISNUMBER('Resol  Asuntos'!D18/NºAsuntos!G18),'Resol  Asuntos'!D18/NºAsuntos!G18," - ")</f>
        <v>0.15108451757666416</v>
      </c>
      <c r="AO18" s="876">
        <f>IF(ISNUMBER((NºAsuntos!C18+NºAsuntos!E18)/NºAsuntos!G18),(NºAsuntos!C18+NºAsuntos!E18)/NºAsuntos!G18," - ")</f>
        <v>1.6099476439790577</v>
      </c>
      <c r="AP18" s="877" t="str">
        <f t="shared" si="2"/>
        <v xml:space="preserve"> - </v>
      </c>
      <c r="AQ18" s="877">
        <f>IF(ISNUMBER((H18-W18+K18)/(F18)),(H18-W18+K18)/(F18)," - ")</f>
        <v>-4.1781249999999996</v>
      </c>
      <c r="AR18" s="878">
        <f>IF(ISNUMBER((Datos!P18-Datos!Q18)/(Datos!R18-Datos!P18+Datos!Q18)),(Datos!P18-Datos!Q18)/(Datos!R18-Datos!P18+Datos!Q18)," - ")</f>
        <v>0.13186813186813187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656</v>
      </c>
      <c r="G19" s="821">
        <f t="shared" si="13"/>
        <v>940</v>
      </c>
      <c r="H19" s="820">
        <f t="shared" si="13"/>
        <v>0</v>
      </c>
      <c r="I19" s="822">
        <f t="shared" si="13"/>
        <v>0</v>
      </c>
      <c r="J19" s="822">
        <f t="shared" si="13"/>
        <v>0</v>
      </c>
      <c r="K19" s="881">
        <f t="shared" si="13"/>
        <v>0</v>
      </c>
      <c r="L19" s="822">
        <f t="shared" si="13"/>
        <v>464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2687</v>
      </c>
      <c r="X19" s="821">
        <f t="shared" si="14"/>
        <v>319</v>
      </c>
      <c r="Y19" s="828">
        <f t="shared" si="14"/>
        <v>3006</v>
      </c>
      <c r="Z19" s="828">
        <f t="shared" si="14"/>
        <v>0</v>
      </c>
      <c r="AA19" s="828">
        <f t="shared" si="14"/>
        <v>1433</v>
      </c>
      <c r="AB19" s="828">
        <f t="shared" si="14"/>
        <v>2096</v>
      </c>
      <c r="AC19" s="828">
        <f t="shared" si="14"/>
        <v>1536</v>
      </c>
      <c r="AD19" s="828">
        <f t="shared" si="14"/>
        <v>0</v>
      </c>
      <c r="AE19" s="830">
        <f t="shared" si="14"/>
        <v>0</v>
      </c>
      <c r="AF19" s="831">
        <f t="shared" si="14"/>
        <v>0</v>
      </c>
      <c r="AG19" s="832">
        <f t="shared" si="14"/>
        <v>0</v>
      </c>
      <c r="AH19" s="830">
        <f t="shared" si="14"/>
        <v>0</v>
      </c>
      <c r="AI19" s="820">
        <f t="shared" si="14"/>
        <v>831</v>
      </c>
      <c r="AJ19" s="820">
        <f t="shared" si="14"/>
        <v>0</v>
      </c>
      <c r="AK19" s="830">
        <f t="shared" si="14"/>
        <v>0</v>
      </c>
      <c r="AL19" s="884">
        <f>IF(ISNUMBER(NºAsuntos!G19/NºAsuntos!E19),NºAsuntos!G19/NºAsuntos!E19," - ")</f>
        <v>0.77505606348111089</v>
      </c>
      <c r="AM19" s="885">
        <f>IF(ISNUMBER(((NºAsuntos!I19/NºAsuntos!G19)*11)/factor_trimestre),((NºAsuntos!I19/NºAsuntos!G19)*11)/factor_trimestre," - ")</f>
        <v>9.1246383262853321</v>
      </c>
      <c r="AN19" s="885">
        <f>IF(ISNUMBER('Resol  Asuntos'!D19/NºAsuntos!G19),'Resol  Asuntos'!D19/NºAsuntos!G19," - ")</f>
        <v>0.18495437346984198</v>
      </c>
      <c r="AO19" s="886">
        <f>IF(ISNUMBER((NºAsuntos!C19+NºAsuntos!E19)/NºAsuntos!G19),(NºAsuntos!C19+NºAsuntos!E19)/NºAsuntos!G19," - ")</f>
        <v>1.8793679056309816</v>
      </c>
      <c r="AP19" s="887" t="str">
        <f t="shared" si="2"/>
        <v xml:space="preserve"> - </v>
      </c>
      <c r="AQ19" s="888">
        <f>IF(OR(ISNUMBER(FIND("01",Criterios!A8,1)),ISNUMBER(FIND("02",Criterios!A8,1)),ISNUMBER(FIND("03",Criterios!A8,1)),ISNUMBER(FIND("04",Criterios!A8,1))),(I19-W19+K19)/(F19-K19),(H19-W19+K19)/(F19-K19))</f>
        <v>-4.0960365853658534</v>
      </c>
      <c r="AR19" s="889">
        <f>IF(ISNUMBER((Datos!P19-Datos!Q19)/(Datos!R19-Datos!P19+Datos!Q19)),(Datos!P19-Datos!Q19)/(Datos!R19-Datos!P19+Datos!Q19)," - ")</f>
        <v>7.43208610968734E-2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360.26656797432645</v>
      </c>
      <c r="G21" s="253">
        <f>IF(ISNUMBER(STDEV(G8:G18)),STDEV(G8:G18),"-")</f>
        <v>473.68343859586224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1346.5172483113613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192.46610091130333</v>
      </c>
      <c r="AJ21" s="252">
        <f t="shared" si="18"/>
        <v>0</v>
      </c>
      <c r="AK21" s="254">
        <f t="shared" si="18"/>
        <v>0</v>
      </c>
      <c r="AL21" s="249">
        <f t="shared" si="18"/>
        <v>0.10224072996706121</v>
      </c>
      <c r="AM21" s="250">
        <f t="shared" si="18"/>
        <v>6.9176472032048135</v>
      </c>
      <c r="AN21" s="250">
        <f t="shared" si="18"/>
        <v>8.6931867021646375E-2</v>
      </c>
      <c r="AO21" s="251">
        <f t="shared" si="18"/>
        <v>0.60405119321391387</v>
      </c>
      <c r="AP21" s="291" t="str">
        <f t="shared" si="18"/>
        <v>-</v>
      </c>
      <c r="AQ21" s="292">
        <f t="shared" si="18"/>
        <v>2.3798562604309743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49Ys/cR2apmB34X1h26v7jakK4a+Gadk7MPYm2wL/iU8jXS2kFSMihTii9Lw+RQZEna30fBYVS1iMLFslqEJA==" saltValue="lqG18Gg95jb4hjzxyln7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COIN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2.2857142857142856</v>
      </c>
      <c r="F10" s="348" t="str">
        <f>IF(ISNUMBER((Datos!K10-Datos!U10)/Datos!U10),(Datos!K10-Datos!U10)/Datos!U10," - ")</f>
        <v xml:space="preserve"> - </v>
      </c>
      <c r="G10" s="349">
        <f>IF(ISNUMBER((Datos!L10-Datos!V10)/Datos!V10),(Datos!L10-Datos!V10)/Datos!V10," - ")</f>
        <v>0.625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0.21264367816091953</v>
      </c>
      <c r="I12" s="350">
        <f>IF(ISNUMBER((Tasas!C12-Datos!BE12)/Datos!BE12),(Tasas!C12-Datos!BE12)/Datos!BE12," - ")</f>
        <v>0.48823715260139833</v>
      </c>
      <c r="J12" s="349">
        <f>IF(ISNUMBER((Tasas!D12-Datos!BF12)/Datos!BF12),(Tasas!D12-Datos!BF12)/Datos!BF12," - ")</f>
        <v>-0.45785253074952531</v>
      </c>
      <c r="K12" s="351">
        <f>IF(ISNUMBER((Tasas!E12-Datos!BG12)/Datos!BG12),(Tasas!E12-Datos!BG12)/Datos!BG12," - ")</f>
        <v>0.22482352832225164</v>
      </c>
      <c r="M12" t="e">
        <f>IF(Monitorios="SI",Datos!CE12,0)</f>
        <v>#REF!</v>
      </c>
      <c r="N12" t="e">
        <f>IF(Monitorios="SI",Datos!CF12,0)</f>
        <v>#REF!</v>
      </c>
      <c r="O12" t="e">
        <f>IF(Monitorios="SI",Datos!CG12,0)</f>
        <v>#REF!</v>
      </c>
      <c r="P12" t="e">
        <f>IF(Monitorios="SI",Datos!CH12,0)</f>
        <v>#REF!</v>
      </c>
      <c r="Q12">
        <f>IF(J_V="SI",0,Datos!AG12)</f>
        <v>23</v>
      </c>
      <c r="R12">
        <f>IF(J_V="SI",0,Datos!AH12)</f>
        <v>137</v>
      </c>
      <c r="S12">
        <f>IF(J_V="SI",0,Datos!AI12)</f>
        <v>136</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0.22701149425287356</v>
      </c>
      <c r="I13" s="357">
        <f>IF(ISNUMBER((Tasas!C13-Datos!BE13)/Datos!BE13),(Tasas!C13-Datos!BE13)/Datos!BE13," - ")</f>
        <v>0.48047133868111064</v>
      </c>
      <c r="J13" s="355">
        <f>IF(ISNUMBER((Tasas!D13-Datos!BF13)/Datos!BF13),(Tasas!D13-Datos!BF13)/Datos!BF13," - ")</f>
        <v>-0.45534950107718347</v>
      </c>
      <c r="K13" s="358">
        <f>IF(ISNUMBER((Tasas!E13-Datos!BG13)/Datos!BG13),(Tasas!E13-Datos!BG13)/Datos!BG13," - ")</f>
        <v>0.22236156770012191</v>
      </c>
      <c r="M13" t="e">
        <f>IF(Monitorios="SI",Datos!CE13,0)</f>
        <v>#REF!</v>
      </c>
      <c r="N13" t="e">
        <f>IF(Monitorios="SI",Datos!CF13,0)</f>
        <v>#REF!</v>
      </c>
      <c r="O13" t="e">
        <f>IF(Monitorios="SI",Datos!CG13,0)</f>
        <v>#REF!</v>
      </c>
      <c r="P13" t="e">
        <f>IF(Monitorios="SI",Datos!CH13,0)</f>
        <v>#REF!</v>
      </c>
      <c r="Q13">
        <f>IF(J_V="SI",0,Datos!AG13)</f>
        <v>23</v>
      </c>
      <c r="R13">
        <f>IF(J_V="SI",0,Datos!AH13)</f>
        <v>137</v>
      </c>
      <c r="S13">
        <f>IF(J_V="SI",0,Datos!AI13)</f>
        <v>136</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0.20670391061452514</v>
      </c>
      <c r="E16" s="348">
        <f>IF(ISNUMBER(
   IF(D_I="SI",(Datos!J16-Datos!T16)/Datos!T16,(Datos!J16+Datos!AD16-(Datos!T16+Datos!AL16))/(Datos!T16+Datos!AL16))
     ),IF(D_I="SI",(Datos!J16-Datos!T16)/Datos!T16,(Datos!J16+Datos!AD16-(Datos!T16+Datos!AL16))/(Datos!T16+Datos!AL16))," - ")</f>
        <v>-0.22638190954773868</v>
      </c>
      <c r="F16" s="348">
        <f>IF(ISNUMBER(
   IF(D_I="SI",(Datos!K16-Datos!U16)/Datos!U16,(Datos!K16+Datos!AE16-(Datos!U16+Datos!AM16))/(Datos!U16+Datos!AM16))
     ),IF(D_I="SI",(Datos!K16-Datos!U16)/Datos!U16,(Datos!K16+Datos!AE16-(Datos!U16+Datos!AM16))/(Datos!U16+Datos!AM16))," - ")</f>
        <v>-0.37966537966537967</v>
      </c>
      <c r="G16" s="349">
        <f>IF(ISNUMBER(
   IF(D_I="SI",(Datos!L16-Datos!V16)/Datos!V16,(Datos!L16+Datos!AF16-(Datos!V16+Datos!AN16))/(Datos!V16+Datos!AN16))
     ),IF(D_I="SI",(Datos!L16-Datos!V16)/Datos!V16,(Datos!L16+Datos!AF16-(Datos!V16+Datos!AN16))/(Datos!V16+Datos!AN16))," - ")</f>
        <v>0.51504629629629628</v>
      </c>
      <c r="H16" s="230">
        <f>IF(ISNUMBER((Datos!M16-Datos!W16)/Datos!W16),(Datos!M16-Datos!W16)/Datos!W16," - ")</f>
        <v>0.25547445255474455</v>
      </c>
      <c r="I16" s="350">
        <f>IF(ISNUMBER((Tasas!C16-Datos!BE16)/Datos!BE16),(Tasas!C16-Datos!BE16)/Datos!BE16," - ")</f>
        <v>1.4423049216228676</v>
      </c>
      <c r="J16" s="349">
        <f>IF(ISNUMBER((Tasas!D16-Datos!BF16)/Datos!BF16),(Tasas!D16-Datos!BF16)/Datos!BF16," - ")</f>
        <v>1.0238664930187478</v>
      </c>
      <c r="K16" s="351">
        <f>IF(ISNUMBER((Tasas!E16-Datos!BG16)/Datos!BG16),(Tasas!E16-Datos!BG16)/Datos!BG16," - ")</f>
        <v>0.35354490799974542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9.0252707581227443E-2</v>
      </c>
      <c r="F17" s="348">
        <f>IF(ISNUMBER(
   IF(D_I="SI",(Datos!K17-Datos!U17)/Datos!U17,(Datos!K17+Datos!AE17-(Datos!U17+Datos!AM17))/(Datos!U17+Datos!AM17))
     ),IF(D_I="SI",(Datos!K17-Datos!U17)/Datos!U17,(Datos!K17+Datos!AE17-(Datos!U17+Datos!AM17))/(Datos!U17+Datos!AM17))," - ")</f>
        <v>-5.3763440860215055E-2</v>
      </c>
      <c r="G17" s="349">
        <f>IF(ISNUMBER(
   IF(D_I="SI",(Datos!L17-Datos!V17)/Datos!V17,(Datos!L17+Datos!AF17-(Datos!V17+Datos!AN17))/(Datos!V17+Datos!AN17))
     ),IF(D_I="SI",(Datos!L17-Datos!V17)/Datos!V17,(Datos!L17+Datos!AF17-(Datos!V17+Datos!AN17))/(Datos!V17+Datos!AN17))," - ")</f>
        <v>0.6333333333333333</v>
      </c>
      <c r="H17" s="230">
        <f>IF(ISNUMBER((Datos!M17-Datos!W17)/Datos!W17),(Datos!M17-Datos!W17)/Datos!W17," - ")</f>
        <v>4</v>
      </c>
      <c r="I17" s="350">
        <f>IF(ISNUMBER((Tasas!C17-Datos!BE17)/Datos!BE17),(Tasas!C17-Datos!BE17)/Datos!BE17," - ")</f>
        <v>0.72613636363636358</v>
      </c>
      <c r="J17" s="349">
        <f>IF(ISNUMBER((Tasas!D17-Datos!BF17)/Datos!BF17),(Tasas!D17-Datos!BF17)/Datos!BF17," - ")</f>
        <v>4.2840909090909092</v>
      </c>
      <c r="K17" s="351">
        <f>IF(ISNUMBER((Tasas!E17-Datos!BG17)/Datos!BG17),(Tasas!E17-Datos!BG17)/Datos!BG17," - ")</f>
        <v>0.19180118946474067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0.21578947368421053</v>
      </c>
      <c r="E18" s="354">
        <f>IF(ISNUMBER(
   IF(D_I="SI",(Datos!J18-Datos!T18)/Datos!T18,(Datos!J18+Datos!AD18-(Datos!T18+Datos!AL18))/(Datos!T18+Datos!AL18))
     ),IF(D_I="SI",(Datos!J18-Datos!T18)/Datos!T18,(Datos!J18+Datos!AD18-(Datos!T18+Datos!AL18))/(Datos!T18+Datos!AL18))," - ")</f>
        <v>-0.20577871740662437</v>
      </c>
      <c r="F18" s="354">
        <f>IF(ISNUMBER(
   IF(D_I="SI",(Datos!K18-Datos!U18)/Datos!U18,(Datos!K18+Datos!AE18-(Datos!U18+Datos!AM18))/(Datos!U18+Datos!AM18))
     ),IF(D_I="SI",(Datos!K18-Datos!U18)/Datos!U18,(Datos!K18+Datos!AE18-(Datos!U18+Datos!AM18))/(Datos!U18+Datos!AM18))," - ")</f>
        <v>-0.35782901056676275</v>
      </c>
      <c r="G18" s="355">
        <f>IF(ISNUMBER(
   IF(D_I="SI",(Datos!L18-Datos!V18)/Datos!V18,(Datos!L18+Datos!AF18-(Datos!V18+Datos!AN18))/(Datos!V18+Datos!AN18))
     ),IF(D_I="SI",(Datos!L18-Datos!V18)/Datos!V18,(Datos!L18+Datos!AF18-(Datos!V18+Datos!AN18))/(Datos!V18+Datos!AN18))," - ")</f>
        <v>0.52272727272727271</v>
      </c>
      <c r="H18" s="356">
        <f>IF(ISNUMBER((Datos!M18-Datos!W18)/Datos!W18),(Datos!M18-Datos!W18)/Datos!W18," - ")</f>
        <v>0.41258741258741261</v>
      </c>
      <c r="I18" s="357">
        <f>IF(ISNUMBER((Tasas!C18-Datos!BE18)/Datos!BE18),(Tasas!C18-Datos!BE18)/Datos!BE18," - ")</f>
        <v>1.3712177874481537</v>
      </c>
      <c r="J18" s="355">
        <f>IF(ISNUMBER((Tasas!D18-Datos!BF18)/Datos!BF18),(Tasas!D18-Datos!BF18)/Datos!BF18," - ")</f>
        <v>1.1997060531091941</v>
      </c>
      <c r="K18" s="358">
        <f>IF(ISNUMBER((Tasas!E18-Datos!BG18)/Datos!BG18),(Tasas!E18-Datos!BG18)/Datos!BG18," - ")</f>
        <v>0.33622124567047956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0.32416208104052024</v>
      </c>
      <c r="E19" s="363">
        <f>IF(ISNUMBER(
   IF(J_V="SI",(Datos!J19-Datos!T19)/Datos!T19,(Datos!J19+Datos!Z19-(Datos!T19+Datos!AH19))/(Datos!T19+Datos!AH19))
     ),IF(J_V="SI",(Datos!J19-Datos!T19)/Datos!T19,(Datos!J19+Datos!Z19-(Datos!T19+Datos!AH19))/(Datos!T19+Datos!AH19))," - ")</f>
        <v>-0.14003856994511199</v>
      </c>
      <c r="F19" s="363">
        <f>IF(ISNUMBER(
   IF(J_V="SI",(Datos!K19-Datos!U19)/Datos!U19,(Datos!K19+Datos!AA19-(Datos!U19+Datos!AI19))/(Datos!U19+Datos!AI19))
     ),IF(J_V="SI",(Datos!K19-Datos!U19)/Datos!U19,(Datos!K19+Datos!AA19-(Datos!U19+Datos!AI19))/(Datos!U19+Datos!AI19))," - ")</f>
        <v>-0.2710902011680727</v>
      </c>
      <c r="G19" s="364">
        <f>IF(ISNUMBER(
   IF(J_V="SI",(Datos!L19-Datos!V19)/Datos!V19,(Datos!L19+Datos!AB19-(Datos!V19+Datos!AJ19))/(Datos!V19+Datos!AJ19))
     ),IF(J_V="SI",(Datos!L19-Datos!V19)/Datos!V19,(Datos!L19+Datos!AB19-(Datos!V19+Datos!AJ19))/(Datos!V19+Datos!AJ19))," - ")</f>
        <v>0.40800906686815264</v>
      </c>
      <c r="H19" s="365">
        <f>IF(ISNUMBER((Datos!M19-Datos!W19)/Datos!W19),(Datos!M19-Datos!W19)/Datos!W19," - ")</f>
        <v>0.3107255520504732</v>
      </c>
      <c r="I19" s="362">
        <f>IF(ISNUMBER((Tasas!C19-Datos!BE19)/Datos!BE19),(Tasas!C19-Datos!BE19)/Datos!BE19," - ")</f>
        <v>0.93166434190413805</v>
      </c>
      <c r="J19" s="363">
        <f>IF(ISNUMBER((Tasas!D19-Datos!BF19)/Datos!BF19),(Tasas!D19-Datos!BF19)/Datos!BF19," - ")</f>
        <v>-6.9174581288275741E-3</v>
      </c>
      <c r="K19" s="364">
        <f>IF(ISNUMBER((Tasas!E19-Datos!BG19)/Datos!BG19),(Tasas!E19-Datos!BG19)/Datos!BG19," - ")</f>
        <v>0.32544894397132373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0.26771227897036443</v>
      </c>
      <c r="E21" s="278">
        <f t="shared" si="1"/>
        <v>1.2085298505753466</v>
      </c>
      <c r="F21" s="278">
        <f t="shared" si="1"/>
        <v>0.18218341097794083</v>
      </c>
      <c r="G21" s="279">
        <f t="shared" si="1"/>
        <v>6.3838006782228424E-2</v>
      </c>
      <c r="H21" s="285">
        <f t="shared" si="1"/>
        <v>1.6669202481050633</v>
      </c>
      <c r="I21" s="277">
        <f t="shared" si="1"/>
        <v>0.47220449283491162</v>
      </c>
      <c r="J21" s="278">
        <f t="shared" si="1"/>
        <v>1.9363886820076401</v>
      </c>
      <c r="K21" s="279">
        <f t="shared" si="1"/>
        <v>7.3654770817736609E-2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vZKJb5sDjCkH6PKLr+MXcx2QFOvi8EW4jlqGytWQyZq8heyGVbhm1EnFzTeQ5TiCzveDYlU5bwFvTyRC+V9rQ==" saltValue="RP1Xh2HRtdYMvp4wM5uU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